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hidePivotFieldList="1" defaultThemeVersion="124226"/>
  <mc:AlternateContent xmlns:mc="http://schemas.openxmlformats.org/markup-compatibility/2006">
    <mc:Choice Requires="x15">
      <x15ac:absPath xmlns:x15ac="http://schemas.microsoft.com/office/spreadsheetml/2010/11/ac" url="https://gabeirasyasociados.sharepoint.com/sites/SOSTENIBILIDAD/Documentos compartidos/01-SOST_COMÚN/01- CLIENTES/FMA/2024/04. Calculadora huella de carbono/02. definitivos editables/"/>
    </mc:Choice>
  </mc:AlternateContent>
  <xr:revisionPtr revIDLastSave="338" documentId="13_ncr:1_{C67F647E-6643-43C4-B3E2-CEB5402C6320}" xr6:coauthVersionLast="47" xr6:coauthVersionMax="47" xr10:uidLastSave="{5BB723D3-AFC1-4C5D-AD4D-E84A1F79BCE5}"/>
  <bookViews>
    <workbookView xWindow="22932" yWindow="-108" windowWidth="23256" windowHeight="12576" firstSheet="8" activeTab="10" xr2:uid="{00000000-000D-0000-FFFF-FFFF00000000}"/>
  </bookViews>
  <sheets>
    <sheet name="INICIO" sheetId="35" r:id="rId1"/>
    <sheet name="Resultados" sheetId="19" r:id="rId2"/>
    <sheet name="Consumos" sheetId="5" r:id="rId3"/>
    <sheet name="Mov. interna (runners y staff)" sheetId="42" r:id="rId4"/>
    <sheet name="Mov. Proveedores" sheetId="36" r:id="rId5"/>
    <sheet name="Mov. artistas" sheetId="43" r:id="rId6"/>
    <sheet name="Mov. audiencia" sheetId="46" r:id="rId7"/>
    <sheet name="Alojamientos" sheetId="39" r:id="rId8"/>
    <sheet name="Materiales y Residuos" sheetId="26" r:id="rId9"/>
    <sheet name="FE Consumos" sheetId="20" r:id="rId10"/>
    <sheet name="FE Movilidad" sheetId="29" r:id="rId11"/>
    <sheet name="FE Estancias de hotel" sheetId="37" r:id="rId12"/>
    <sheet name="FE Materiales y Residuos" sheetId="30"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4" i="36" l="1"/>
  <c r="W15" i="36"/>
  <c r="W16" i="36"/>
  <c r="W17" i="36"/>
  <c r="W18" i="36"/>
  <c r="W19" i="36"/>
  <c r="W20" i="36"/>
  <c r="W21" i="36"/>
  <c r="W22" i="36"/>
  <c r="W23" i="36"/>
  <c r="W24" i="36"/>
  <c r="W25" i="36"/>
  <c r="W26" i="36"/>
  <c r="W27" i="36"/>
  <c r="W28" i="36"/>
  <c r="W29" i="36"/>
  <c r="W30" i="36"/>
  <c r="W31" i="36"/>
  <c r="W32" i="36"/>
  <c r="W33" i="36"/>
  <c r="W34" i="36"/>
  <c r="W35" i="36"/>
  <c r="W36" i="36"/>
  <c r="W37" i="36"/>
  <c r="W13" i="36"/>
  <c r="P41" i="5"/>
  <c r="H41" i="5" s="1"/>
  <c r="X36" i="26"/>
  <c r="X37" i="26"/>
  <c r="X38" i="26"/>
  <c r="X39" i="26"/>
  <c r="X40" i="26"/>
  <c r="X41" i="26"/>
  <c r="X42" i="26"/>
  <c r="X43" i="26"/>
  <c r="X44" i="26"/>
  <c r="X35" i="26"/>
  <c r="W36" i="26"/>
  <c r="W37" i="26"/>
  <c r="W38" i="26"/>
  <c r="W39" i="26"/>
  <c r="W40" i="26"/>
  <c r="W41" i="26"/>
  <c r="W42" i="26"/>
  <c r="W43" i="26"/>
  <c r="W44" i="26"/>
  <c r="V36" i="26"/>
  <c r="V37" i="26"/>
  <c r="V38" i="26"/>
  <c r="V39" i="26"/>
  <c r="V40" i="26"/>
  <c r="V41" i="26"/>
  <c r="V42" i="26"/>
  <c r="V43" i="26"/>
  <c r="V44" i="26"/>
  <c r="U36" i="26"/>
  <c r="U37" i="26"/>
  <c r="U38" i="26"/>
  <c r="U39" i="26"/>
  <c r="U40" i="26"/>
  <c r="U41" i="26"/>
  <c r="U42" i="26"/>
  <c r="U43" i="26"/>
  <c r="U44" i="26"/>
  <c r="T36" i="26"/>
  <c r="T37" i="26"/>
  <c r="T38" i="26"/>
  <c r="T39" i="26"/>
  <c r="T40" i="26"/>
  <c r="T41" i="26"/>
  <c r="T42" i="26"/>
  <c r="T43" i="26"/>
  <c r="T44" i="26"/>
  <c r="W35" i="26"/>
  <c r="V35" i="26"/>
  <c r="U35" i="26"/>
  <c r="T35" i="26"/>
  <c r="AI11" i="46"/>
  <c r="AH11" i="46"/>
  <c r="AH12" i="46"/>
  <c r="AI12" i="46" s="1"/>
  <c r="AH13" i="46"/>
  <c r="AI13" i="46" s="1"/>
  <c r="AH14" i="46"/>
  <c r="AI14" i="46" s="1"/>
  <c r="AH15" i="46"/>
  <c r="AI15" i="46" s="1"/>
  <c r="AH16" i="46"/>
  <c r="AI16" i="46" s="1"/>
  <c r="AH17" i="46"/>
  <c r="AI17" i="46" s="1"/>
  <c r="AH18" i="46"/>
  <c r="AI18" i="46" s="1"/>
  <c r="AH19" i="46"/>
  <c r="AI19" i="46" s="1"/>
  <c r="AH20" i="46"/>
  <c r="AI20" i="46" s="1"/>
  <c r="AH21" i="46"/>
  <c r="AI21" i="46" s="1"/>
  <c r="AH22" i="46"/>
  <c r="AI22" i="46" s="1"/>
  <c r="AH23" i="46"/>
  <c r="AI23" i="46" s="1"/>
  <c r="AH24" i="46"/>
  <c r="AI24" i="46" s="1"/>
  <c r="AH25" i="46"/>
  <c r="AI25" i="46" s="1"/>
  <c r="AH26" i="46"/>
  <c r="AI26" i="46" s="1"/>
  <c r="AH27" i="46"/>
  <c r="AI27" i="46" s="1"/>
  <c r="AH28" i="46"/>
  <c r="AI28" i="46" s="1"/>
  <c r="AH29" i="46"/>
  <c r="AI29" i="46" s="1"/>
  <c r="AH30" i="46"/>
  <c r="AI30" i="46" s="1"/>
  <c r="AH31" i="46"/>
  <c r="AI31" i="46" s="1"/>
  <c r="AH32" i="46"/>
  <c r="AI32" i="46" s="1"/>
  <c r="AH33" i="46"/>
  <c r="AI33" i="46" s="1"/>
  <c r="AH34" i="46"/>
  <c r="AI34" i="46" s="1"/>
  <c r="AH35" i="46"/>
  <c r="AI35" i="46" s="1"/>
  <c r="AH36" i="46"/>
  <c r="AI36" i="46" s="1"/>
  <c r="AH37" i="46"/>
  <c r="AI37" i="46" s="1"/>
  <c r="AH38" i="46"/>
  <c r="AI38" i="46" s="1"/>
  <c r="AH39" i="46"/>
  <c r="AI39" i="46" s="1"/>
  <c r="AH40" i="46"/>
  <c r="AI40" i="46" s="1"/>
  <c r="AH41" i="46"/>
  <c r="AI41" i="46" s="1"/>
  <c r="AH42" i="46"/>
  <c r="AI42" i="46" s="1"/>
  <c r="AH43" i="46"/>
  <c r="AI43" i="46" s="1"/>
  <c r="AH44" i="46"/>
  <c r="AI44" i="46" s="1"/>
  <c r="AH45" i="46"/>
  <c r="AI45" i="46" s="1"/>
  <c r="AH46" i="46"/>
  <c r="AI46" i="46" s="1"/>
  <c r="AH47" i="46"/>
  <c r="AI47" i="46" s="1"/>
  <c r="AH48" i="46"/>
  <c r="AI48" i="46" s="1"/>
  <c r="AH49" i="46"/>
  <c r="AI49" i="46" s="1"/>
  <c r="AH50" i="46"/>
  <c r="AI50" i="46" s="1"/>
  <c r="AH51" i="46"/>
  <c r="AI51" i="46" s="1"/>
  <c r="AH52" i="46"/>
  <c r="AI52" i="46" s="1"/>
  <c r="AH53" i="46"/>
  <c r="AI53" i="46" s="1"/>
  <c r="AH54" i="46"/>
  <c r="AI54" i="46" s="1"/>
  <c r="AH55" i="46"/>
  <c r="AI55" i="46" s="1"/>
  <c r="AH56" i="46"/>
  <c r="AI56" i="46" s="1"/>
  <c r="AH57" i="46"/>
  <c r="AI57" i="46" s="1"/>
  <c r="AH58" i="46"/>
  <c r="AI58" i="46" s="1"/>
  <c r="AH59" i="46"/>
  <c r="AI59" i="46" s="1"/>
  <c r="AH10" i="46"/>
  <c r="AI10" i="46" s="1"/>
  <c r="AD11" i="46"/>
  <c r="AD12" i="46"/>
  <c r="AD13" i="46"/>
  <c r="AD14" i="46"/>
  <c r="AD15" i="46"/>
  <c r="AD16" i="46"/>
  <c r="AD17" i="46"/>
  <c r="AD18" i="46"/>
  <c r="AD19" i="46"/>
  <c r="AD20" i="46"/>
  <c r="AD21" i="46"/>
  <c r="AD22" i="46"/>
  <c r="AD23" i="46"/>
  <c r="AD24" i="46"/>
  <c r="AD25" i="46"/>
  <c r="AD26" i="46"/>
  <c r="AD27" i="46"/>
  <c r="AD28" i="46"/>
  <c r="AD29" i="46"/>
  <c r="AD30" i="46"/>
  <c r="AD31" i="46"/>
  <c r="AD32" i="46"/>
  <c r="AD33" i="46"/>
  <c r="AD34" i="46"/>
  <c r="AD35" i="46"/>
  <c r="AD36" i="46"/>
  <c r="AD37" i="46"/>
  <c r="AD38" i="46"/>
  <c r="AD39" i="46"/>
  <c r="AD40" i="46"/>
  <c r="AD41" i="46"/>
  <c r="AD42" i="46"/>
  <c r="AD43" i="46"/>
  <c r="AD44" i="46"/>
  <c r="AD45" i="46"/>
  <c r="AD46" i="46"/>
  <c r="AD47" i="46"/>
  <c r="AD48" i="46"/>
  <c r="AD49" i="46"/>
  <c r="AD50" i="46"/>
  <c r="AD51" i="46"/>
  <c r="AD52" i="46"/>
  <c r="AD53" i="46"/>
  <c r="AD54" i="46"/>
  <c r="AD55" i="46"/>
  <c r="AD56" i="46"/>
  <c r="AD57" i="46"/>
  <c r="AD58" i="46"/>
  <c r="AD59" i="46"/>
  <c r="AD10" i="46"/>
  <c r="AB59" i="46"/>
  <c r="AA59" i="46"/>
  <c r="Z59" i="46"/>
  <c r="AB58" i="46"/>
  <c r="AA58" i="46"/>
  <c r="Z58" i="46"/>
  <c r="AB57" i="46"/>
  <c r="AA57" i="46"/>
  <c r="Z57" i="46"/>
  <c r="AB56" i="46"/>
  <c r="AA56" i="46"/>
  <c r="Z56" i="46"/>
  <c r="AB55" i="46"/>
  <c r="AA55" i="46"/>
  <c r="Z55" i="46"/>
  <c r="AB54" i="46"/>
  <c r="AA54" i="46"/>
  <c r="Z54" i="46"/>
  <c r="AB53" i="46"/>
  <c r="AA53" i="46"/>
  <c r="Z53" i="46"/>
  <c r="AB52" i="46"/>
  <c r="AA52" i="46"/>
  <c r="Z52" i="46"/>
  <c r="AB51" i="46"/>
  <c r="AA51" i="46"/>
  <c r="Z51" i="46"/>
  <c r="AB50" i="46"/>
  <c r="AA50" i="46"/>
  <c r="Z50" i="46"/>
  <c r="AB49" i="46"/>
  <c r="AA49" i="46"/>
  <c r="Z49" i="46"/>
  <c r="AB48" i="46"/>
  <c r="AA48" i="46"/>
  <c r="Z48" i="46"/>
  <c r="AB47" i="46"/>
  <c r="AA47" i="46"/>
  <c r="Z47" i="46"/>
  <c r="AB46" i="46"/>
  <c r="AA46" i="46"/>
  <c r="Z46" i="46"/>
  <c r="AB45" i="46"/>
  <c r="AA45" i="46"/>
  <c r="Z45" i="46"/>
  <c r="AB44" i="46"/>
  <c r="AA44" i="46"/>
  <c r="Z44" i="46"/>
  <c r="AB43" i="46"/>
  <c r="AA43" i="46"/>
  <c r="Z43" i="46"/>
  <c r="AB42" i="46"/>
  <c r="AA42" i="46"/>
  <c r="Z42" i="46"/>
  <c r="AB41" i="46"/>
  <c r="AA41" i="46"/>
  <c r="Z41" i="46"/>
  <c r="AB40" i="46"/>
  <c r="AA40" i="46"/>
  <c r="Z40" i="46"/>
  <c r="AB39" i="46"/>
  <c r="AA39" i="46"/>
  <c r="Z39" i="46"/>
  <c r="AB38" i="46"/>
  <c r="AA38" i="46"/>
  <c r="Z38" i="46"/>
  <c r="AB37" i="46"/>
  <c r="AA37" i="46"/>
  <c r="Z37" i="46"/>
  <c r="AB36" i="46"/>
  <c r="AA36" i="46"/>
  <c r="Z36" i="46"/>
  <c r="AB35" i="46"/>
  <c r="AA35" i="46"/>
  <c r="Z35" i="46"/>
  <c r="AB34" i="46"/>
  <c r="AA34" i="46"/>
  <c r="Z34" i="46"/>
  <c r="AB33" i="46"/>
  <c r="AA33" i="46"/>
  <c r="Z33" i="46"/>
  <c r="AB32" i="46"/>
  <c r="AA32" i="46"/>
  <c r="Z32" i="46"/>
  <c r="AB31" i="46"/>
  <c r="AA31" i="46"/>
  <c r="Z31" i="46"/>
  <c r="AB30" i="46"/>
  <c r="AA30" i="46"/>
  <c r="Z30" i="46"/>
  <c r="AB29" i="46"/>
  <c r="AA29" i="46"/>
  <c r="Z29" i="46"/>
  <c r="AB28" i="46"/>
  <c r="AA28" i="46"/>
  <c r="Z28" i="46"/>
  <c r="AB27" i="46"/>
  <c r="AA27" i="46"/>
  <c r="Z27" i="46"/>
  <c r="AB26" i="46"/>
  <c r="AA26" i="46"/>
  <c r="Z26" i="46"/>
  <c r="AB25" i="46"/>
  <c r="AA25" i="46"/>
  <c r="Z25" i="46"/>
  <c r="AB24" i="46"/>
  <c r="AA24" i="46"/>
  <c r="Z24" i="46"/>
  <c r="AB23" i="46"/>
  <c r="AA23" i="46"/>
  <c r="Z23" i="46"/>
  <c r="AB22" i="46"/>
  <c r="AA22" i="46"/>
  <c r="Z22" i="46"/>
  <c r="AB21" i="46"/>
  <c r="AA21" i="46"/>
  <c r="Z21" i="46"/>
  <c r="AB20" i="46"/>
  <c r="AA20" i="46"/>
  <c r="Z20" i="46"/>
  <c r="AB19" i="46"/>
  <c r="AA19" i="46"/>
  <c r="Z19" i="46"/>
  <c r="AB18" i="46"/>
  <c r="AA18" i="46"/>
  <c r="Z18" i="46"/>
  <c r="AB17" i="46"/>
  <c r="AA17" i="46"/>
  <c r="Z17" i="46"/>
  <c r="AB16" i="46"/>
  <c r="AA16" i="46"/>
  <c r="Z16" i="46"/>
  <c r="AB15" i="46"/>
  <c r="AA15" i="46"/>
  <c r="Z15" i="46"/>
  <c r="AB14" i="46"/>
  <c r="AA14" i="46"/>
  <c r="Z14" i="46"/>
  <c r="AB13" i="46"/>
  <c r="AA13" i="46"/>
  <c r="Z13" i="46"/>
  <c r="AB12" i="46"/>
  <c r="AA12" i="46"/>
  <c r="Z12" i="46"/>
  <c r="AB11" i="46"/>
  <c r="AA11" i="46"/>
  <c r="Z11" i="46"/>
  <c r="AB10" i="46"/>
  <c r="AA10" i="46"/>
  <c r="Z10" i="46"/>
  <c r="AD11" i="43"/>
  <c r="AD12" i="43"/>
  <c r="AD13" i="43"/>
  <c r="AD14" i="43"/>
  <c r="AD15" i="43"/>
  <c r="AD16" i="43"/>
  <c r="AD17" i="43"/>
  <c r="AD18" i="43"/>
  <c r="AD19" i="43"/>
  <c r="AD20" i="43"/>
  <c r="AD21" i="43"/>
  <c r="AD22" i="43"/>
  <c r="AD23" i="43"/>
  <c r="AD24" i="43"/>
  <c r="AD25" i="43"/>
  <c r="AD26" i="43"/>
  <c r="AD27" i="43"/>
  <c r="AD28" i="43"/>
  <c r="AD29" i="43"/>
  <c r="AD30" i="43"/>
  <c r="AD31" i="43"/>
  <c r="AD32" i="43"/>
  <c r="AD33" i="43"/>
  <c r="AD34" i="43"/>
  <c r="AD35" i="43"/>
  <c r="AD36" i="43"/>
  <c r="AD37" i="43"/>
  <c r="AD38" i="43"/>
  <c r="AD39" i="43"/>
  <c r="AD40" i="43"/>
  <c r="AD41" i="43"/>
  <c r="AD42" i="43"/>
  <c r="AD43" i="43"/>
  <c r="AD44" i="43"/>
  <c r="AD45" i="43"/>
  <c r="AD46" i="43"/>
  <c r="AD47" i="43"/>
  <c r="AD48" i="43"/>
  <c r="AD49" i="43"/>
  <c r="AD50" i="43"/>
  <c r="AD51" i="43"/>
  <c r="AD52" i="43"/>
  <c r="AD53" i="43"/>
  <c r="AD54" i="43"/>
  <c r="AD55" i="43"/>
  <c r="AD56" i="43"/>
  <c r="AD57" i="43"/>
  <c r="AD58" i="43"/>
  <c r="AD59" i="43"/>
  <c r="AD10" i="43"/>
  <c r="AB11" i="43"/>
  <c r="AB12" i="43"/>
  <c r="AB13" i="43"/>
  <c r="AB14" i="43"/>
  <c r="AB15" i="43"/>
  <c r="AB16" i="43"/>
  <c r="AB17" i="43"/>
  <c r="AB18" i="43"/>
  <c r="AB19" i="43"/>
  <c r="AB20" i="43"/>
  <c r="AB21" i="43"/>
  <c r="AB22" i="43"/>
  <c r="AB23" i="43"/>
  <c r="AB24" i="43"/>
  <c r="AB25" i="43"/>
  <c r="AB26" i="43"/>
  <c r="AB27" i="43"/>
  <c r="AB28" i="43"/>
  <c r="AB29" i="43"/>
  <c r="AB30" i="43"/>
  <c r="AB31" i="43"/>
  <c r="AB32" i="43"/>
  <c r="AB33" i="43"/>
  <c r="AB34" i="43"/>
  <c r="AB35" i="43"/>
  <c r="AB36" i="43"/>
  <c r="AB37" i="43"/>
  <c r="AB38" i="43"/>
  <c r="AB39" i="43"/>
  <c r="AB40" i="43"/>
  <c r="AB41" i="43"/>
  <c r="AB42" i="43"/>
  <c r="AB43" i="43"/>
  <c r="AB44" i="43"/>
  <c r="AB45" i="43"/>
  <c r="AB46" i="43"/>
  <c r="AB47" i="43"/>
  <c r="AB48" i="43"/>
  <c r="AB49" i="43"/>
  <c r="AB50" i="43"/>
  <c r="AB51" i="43"/>
  <c r="AB52" i="43"/>
  <c r="AB53" i="43"/>
  <c r="AB54" i="43"/>
  <c r="AB55" i="43"/>
  <c r="AB56" i="43"/>
  <c r="AB57" i="43"/>
  <c r="AB58" i="43"/>
  <c r="AB59" i="43"/>
  <c r="AB10" i="43"/>
  <c r="E131" i="29"/>
  <c r="E132" i="29"/>
  <c r="E133" i="29"/>
  <c r="E134" i="29"/>
  <c r="E127" i="29"/>
  <c r="E128" i="29"/>
  <c r="E129" i="29"/>
  <c r="E130" i="29"/>
  <c r="E125" i="29"/>
  <c r="E126" i="29"/>
  <c r="E124" i="29"/>
  <c r="AA59" i="43"/>
  <c r="AA11" i="43"/>
  <c r="AA12" i="43"/>
  <c r="AA13" i="43"/>
  <c r="AA14" i="43"/>
  <c r="AA15" i="43"/>
  <c r="AA16" i="43"/>
  <c r="AA17" i="43"/>
  <c r="AA18" i="43"/>
  <c r="AA19" i="43"/>
  <c r="AA20" i="43"/>
  <c r="AA21" i="43"/>
  <c r="AA22" i="43"/>
  <c r="AA23" i="43"/>
  <c r="AA24" i="43"/>
  <c r="AA25" i="43"/>
  <c r="AA26" i="43"/>
  <c r="AA27" i="43"/>
  <c r="AA28" i="43"/>
  <c r="AA29" i="43"/>
  <c r="AA30" i="43"/>
  <c r="AA31" i="43"/>
  <c r="AA32" i="43"/>
  <c r="AA33" i="43"/>
  <c r="AA34" i="43"/>
  <c r="AA35" i="43"/>
  <c r="AA36" i="43"/>
  <c r="AA37" i="43"/>
  <c r="AA38" i="43"/>
  <c r="AA39" i="43"/>
  <c r="AA40" i="43"/>
  <c r="AA41" i="43"/>
  <c r="AA42" i="43"/>
  <c r="AA43" i="43"/>
  <c r="AA44" i="43"/>
  <c r="AA45" i="43"/>
  <c r="AA46" i="43"/>
  <c r="AA47" i="43"/>
  <c r="AA48" i="43"/>
  <c r="AA49" i="43"/>
  <c r="AA50" i="43"/>
  <c r="AA51" i="43"/>
  <c r="AA52" i="43"/>
  <c r="AA53" i="43"/>
  <c r="AA54" i="43"/>
  <c r="AA55" i="43"/>
  <c r="AA56" i="43"/>
  <c r="AA57" i="43"/>
  <c r="AA58" i="43"/>
  <c r="AA10" i="43"/>
  <c r="Z11" i="43"/>
  <c r="Z12" i="43"/>
  <c r="Z13" i="43"/>
  <c r="Z14" i="43"/>
  <c r="Z15" i="43"/>
  <c r="Z16" i="43"/>
  <c r="Z17" i="43"/>
  <c r="Z18" i="43"/>
  <c r="Z19" i="43"/>
  <c r="Z20" i="43"/>
  <c r="Z21" i="43"/>
  <c r="Z22" i="43"/>
  <c r="Z23" i="43"/>
  <c r="Z24" i="43"/>
  <c r="Z25" i="43"/>
  <c r="Z26" i="43"/>
  <c r="Z27" i="43"/>
  <c r="Z28" i="43"/>
  <c r="Z29" i="43"/>
  <c r="Z30" i="43"/>
  <c r="Z31" i="43"/>
  <c r="Z32" i="43"/>
  <c r="Z33" i="43"/>
  <c r="Z34" i="43"/>
  <c r="Z35" i="43"/>
  <c r="Z36" i="43"/>
  <c r="Z37" i="43"/>
  <c r="Z38" i="43"/>
  <c r="Z39" i="43"/>
  <c r="Z40" i="43"/>
  <c r="Z41" i="43"/>
  <c r="Z42" i="43"/>
  <c r="Z43" i="43"/>
  <c r="Z44" i="43"/>
  <c r="Z45" i="43"/>
  <c r="Z46" i="43"/>
  <c r="Z47" i="43"/>
  <c r="Z48" i="43"/>
  <c r="Z49" i="43"/>
  <c r="Z50" i="43"/>
  <c r="Z51" i="43"/>
  <c r="Z52" i="43"/>
  <c r="Z53" i="43"/>
  <c r="Z54" i="43"/>
  <c r="Z55" i="43"/>
  <c r="Z56" i="43"/>
  <c r="Z57" i="43"/>
  <c r="Z58" i="43"/>
  <c r="Z59" i="43"/>
  <c r="Z10" i="43"/>
  <c r="V14" i="36"/>
  <c r="V15" i="36"/>
  <c r="V16" i="36"/>
  <c r="V17" i="36"/>
  <c r="V18" i="36"/>
  <c r="V19" i="36"/>
  <c r="V20" i="36"/>
  <c r="V21" i="36"/>
  <c r="V22" i="36"/>
  <c r="V23" i="36"/>
  <c r="X23" i="36" s="1"/>
  <c r="V24" i="36"/>
  <c r="X24" i="36" s="1"/>
  <c r="V25" i="36"/>
  <c r="V26" i="36"/>
  <c r="V27" i="36"/>
  <c r="V28" i="36"/>
  <c r="V29" i="36"/>
  <c r="V30" i="36"/>
  <c r="X30" i="36" s="1"/>
  <c r="V31" i="36"/>
  <c r="X31" i="36" s="1"/>
  <c r="V32" i="36"/>
  <c r="X32" i="36" s="1"/>
  <c r="V33" i="36"/>
  <c r="V34" i="36"/>
  <c r="V35" i="36"/>
  <c r="V36" i="36"/>
  <c r="V37" i="36"/>
  <c r="D112" i="29"/>
  <c r="D113" i="29"/>
  <c r="D111" i="29"/>
  <c r="D109" i="29"/>
  <c r="D110" i="29"/>
  <c r="D108" i="29"/>
  <c r="V13" i="36"/>
  <c r="S24" i="36"/>
  <c r="S25" i="36"/>
  <c r="S26" i="36"/>
  <c r="S27" i="36"/>
  <c r="S28" i="36"/>
  <c r="S29" i="36"/>
  <c r="S30" i="36"/>
  <c r="S31" i="36"/>
  <c r="S32" i="36"/>
  <c r="S33" i="36"/>
  <c r="S34" i="36"/>
  <c r="S35" i="36"/>
  <c r="S36" i="36"/>
  <c r="S37" i="36"/>
  <c r="S14" i="36"/>
  <c r="S15" i="36"/>
  <c r="S16" i="36"/>
  <c r="S17" i="36"/>
  <c r="S18" i="36"/>
  <c r="S19" i="36"/>
  <c r="S20" i="36"/>
  <c r="S21" i="36"/>
  <c r="S22" i="36"/>
  <c r="S23" i="36"/>
  <c r="S13" i="36"/>
  <c r="U46" i="42"/>
  <c r="T47" i="42"/>
  <c r="U47" i="42" s="1"/>
  <c r="T48" i="42"/>
  <c r="U48" i="42" s="1"/>
  <c r="T49" i="42"/>
  <c r="U49" i="42" s="1"/>
  <c r="T50" i="42"/>
  <c r="U50" i="42" s="1"/>
  <c r="T51" i="42"/>
  <c r="U51" i="42" s="1"/>
  <c r="T52" i="42"/>
  <c r="U52" i="42" s="1"/>
  <c r="T53" i="42"/>
  <c r="U53" i="42" s="1"/>
  <c r="T54" i="42"/>
  <c r="U54" i="42" s="1"/>
  <c r="T55" i="42"/>
  <c r="U55" i="42" s="1"/>
  <c r="T56" i="42"/>
  <c r="U56" i="42" s="1"/>
  <c r="T57" i="42"/>
  <c r="U57" i="42" s="1"/>
  <c r="T58" i="42"/>
  <c r="U58" i="42" s="1"/>
  <c r="T59" i="42"/>
  <c r="U59" i="42" s="1"/>
  <c r="T60" i="42"/>
  <c r="U60" i="42" s="1"/>
  <c r="T61" i="42"/>
  <c r="U61" i="42" s="1"/>
  <c r="T62" i="42"/>
  <c r="U62" i="42" s="1"/>
  <c r="T63" i="42"/>
  <c r="U63" i="42" s="1"/>
  <c r="T64" i="42"/>
  <c r="U64" i="42" s="1"/>
  <c r="T65" i="42"/>
  <c r="U65" i="42" s="1"/>
  <c r="T66" i="42"/>
  <c r="U66" i="42" s="1"/>
  <c r="T67" i="42"/>
  <c r="U67" i="42" s="1"/>
  <c r="T68" i="42"/>
  <c r="U68" i="42" s="1"/>
  <c r="T69" i="42"/>
  <c r="U69" i="42" s="1"/>
  <c r="T45" i="42"/>
  <c r="U45" i="42" s="1"/>
  <c r="T46" i="42"/>
  <c r="P46" i="42"/>
  <c r="P47" i="42"/>
  <c r="P48" i="42"/>
  <c r="P49" i="42"/>
  <c r="P50" i="42"/>
  <c r="P51" i="42"/>
  <c r="P52" i="42"/>
  <c r="P53" i="42"/>
  <c r="P54" i="42"/>
  <c r="P55" i="42"/>
  <c r="P56" i="42"/>
  <c r="P57" i="42"/>
  <c r="P58" i="42"/>
  <c r="P59" i="42"/>
  <c r="P60" i="42"/>
  <c r="P61" i="42"/>
  <c r="P62" i="42"/>
  <c r="P63" i="42"/>
  <c r="P64" i="42"/>
  <c r="P65" i="42"/>
  <c r="P66" i="42"/>
  <c r="P67" i="42"/>
  <c r="P68" i="42"/>
  <c r="P69" i="42"/>
  <c r="P45" i="42"/>
  <c r="E66" i="29"/>
  <c r="E65" i="29"/>
  <c r="P11" i="42"/>
  <c r="P12" i="42"/>
  <c r="P13" i="42"/>
  <c r="P14" i="42"/>
  <c r="P15" i="42"/>
  <c r="P16" i="42"/>
  <c r="P17" i="42"/>
  <c r="P18" i="42"/>
  <c r="P19" i="42"/>
  <c r="P20" i="42"/>
  <c r="P21" i="42"/>
  <c r="P22" i="42"/>
  <c r="P23" i="42"/>
  <c r="P24" i="42"/>
  <c r="P25" i="42"/>
  <c r="P26" i="42"/>
  <c r="P27" i="42"/>
  <c r="P28" i="42"/>
  <c r="P29" i="42"/>
  <c r="P30" i="42"/>
  <c r="P31" i="42"/>
  <c r="P32" i="42"/>
  <c r="P33" i="42"/>
  <c r="P34" i="42"/>
  <c r="P10" i="42"/>
  <c r="E62" i="29"/>
  <c r="E64" i="29"/>
  <c r="E61" i="29"/>
  <c r="E59" i="29"/>
  <c r="E57" i="29"/>
  <c r="E53" i="29"/>
  <c r="E55" i="29"/>
  <c r="E52" i="29"/>
  <c r="E49" i="29"/>
  <c r="E51" i="29"/>
  <c r="E48" i="29"/>
  <c r="E45" i="29"/>
  <c r="E47" i="29"/>
  <c r="E44" i="29"/>
  <c r="E41" i="29"/>
  <c r="E43" i="29"/>
  <c r="E40" i="29"/>
  <c r="E37" i="29"/>
  <c r="E39" i="29"/>
  <c r="E36" i="29"/>
  <c r="E33" i="29"/>
  <c r="E35" i="29"/>
  <c r="E32" i="29"/>
  <c r="E28" i="29"/>
  <c r="E30" i="29"/>
  <c r="E31" i="29"/>
  <c r="E27" i="29"/>
  <c r="E23" i="29"/>
  <c r="E25" i="29"/>
  <c r="E26" i="29"/>
  <c r="E22" i="29"/>
  <c r="E18" i="29"/>
  <c r="E20" i="29"/>
  <c r="E21" i="29"/>
  <c r="E17" i="29"/>
  <c r="E13" i="29"/>
  <c r="E15" i="29"/>
  <c r="E16" i="29"/>
  <c r="E12" i="29"/>
  <c r="E8" i="29"/>
  <c r="E10" i="29"/>
  <c r="E11" i="29"/>
  <c r="E7" i="29"/>
  <c r="AE10" i="46" s="1"/>
  <c r="AF10" i="46" s="1"/>
  <c r="AG10" i="46" s="1"/>
  <c r="E56" i="29"/>
  <c r="T10" i="26"/>
  <c r="T11" i="26"/>
  <c r="T12" i="26"/>
  <c r="T13" i="26"/>
  <c r="T14" i="26"/>
  <c r="T15" i="26"/>
  <c r="T16" i="26"/>
  <c r="T17" i="26"/>
  <c r="T18" i="26"/>
  <c r="T19" i="26"/>
  <c r="T20" i="26"/>
  <c r="T9" i="26"/>
  <c r="T10" i="39"/>
  <c r="T11" i="39"/>
  <c r="T12" i="39"/>
  <c r="T13" i="39"/>
  <c r="T14" i="39"/>
  <c r="T15" i="39"/>
  <c r="T16" i="39"/>
  <c r="T17" i="39"/>
  <c r="T18" i="39"/>
  <c r="T19" i="39"/>
  <c r="T20" i="39"/>
  <c r="T21" i="39"/>
  <c r="T22" i="39"/>
  <c r="T23" i="39"/>
  <c r="T24" i="39"/>
  <c r="T25" i="39"/>
  <c r="T26" i="39"/>
  <c r="T27" i="39"/>
  <c r="T28" i="39"/>
  <c r="T29" i="39"/>
  <c r="T30" i="39"/>
  <c r="T31" i="39"/>
  <c r="T32" i="39"/>
  <c r="T33" i="39"/>
  <c r="T34" i="39"/>
  <c r="T35" i="39"/>
  <c r="T36" i="39"/>
  <c r="T37" i="39"/>
  <c r="T38" i="39"/>
  <c r="T39" i="39"/>
  <c r="T40" i="39"/>
  <c r="T41" i="39"/>
  <c r="T42" i="39"/>
  <c r="T43" i="39"/>
  <c r="T44" i="39"/>
  <c r="T45" i="39"/>
  <c r="T46" i="39"/>
  <c r="T47" i="39"/>
  <c r="T48" i="39"/>
  <c r="T49" i="39"/>
  <c r="T50" i="39"/>
  <c r="T51" i="39"/>
  <c r="T52" i="39"/>
  <c r="T53" i="39"/>
  <c r="T54" i="39"/>
  <c r="T55" i="39"/>
  <c r="T56" i="39"/>
  <c r="T57" i="39"/>
  <c r="T58" i="39"/>
  <c r="S10" i="39"/>
  <c r="S11" i="39"/>
  <c r="S12" i="39"/>
  <c r="S13" i="39"/>
  <c r="S14" i="39"/>
  <c r="S15" i="39"/>
  <c r="S16" i="39"/>
  <c r="S17" i="39"/>
  <c r="S18" i="39"/>
  <c r="S19" i="39"/>
  <c r="S20" i="39"/>
  <c r="S21" i="39"/>
  <c r="S22" i="39"/>
  <c r="S23" i="39"/>
  <c r="S24" i="39"/>
  <c r="S25" i="39"/>
  <c r="S26" i="39"/>
  <c r="S27" i="39"/>
  <c r="S28" i="39"/>
  <c r="S29" i="39"/>
  <c r="S30" i="39"/>
  <c r="S31" i="39"/>
  <c r="S32" i="39"/>
  <c r="S33" i="39"/>
  <c r="S34" i="39"/>
  <c r="S35" i="39"/>
  <c r="S36" i="39"/>
  <c r="S37" i="39"/>
  <c r="S38" i="39"/>
  <c r="S39" i="39"/>
  <c r="S40" i="39"/>
  <c r="S41" i="39"/>
  <c r="S42" i="39"/>
  <c r="S43" i="39"/>
  <c r="S44" i="39"/>
  <c r="S45" i="39"/>
  <c r="S46" i="39"/>
  <c r="S47" i="39"/>
  <c r="S48" i="39"/>
  <c r="S49" i="39"/>
  <c r="S50" i="39"/>
  <c r="S51" i="39"/>
  <c r="S52" i="39"/>
  <c r="S53" i="39"/>
  <c r="S54" i="39"/>
  <c r="S55" i="39"/>
  <c r="S56" i="39"/>
  <c r="S57" i="39"/>
  <c r="S58" i="39"/>
  <c r="S9" i="39"/>
  <c r="T9" i="39"/>
  <c r="J61" i="39" s="1"/>
  <c r="D96" i="5"/>
  <c r="D97" i="5"/>
  <c r="D98" i="5"/>
  <c r="D99" i="5"/>
  <c r="D95" i="5"/>
  <c r="D89" i="5"/>
  <c r="D90" i="5"/>
  <c r="D91" i="5"/>
  <c r="D92" i="5"/>
  <c r="D88" i="5"/>
  <c r="P69" i="5"/>
  <c r="E69" i="5" s="1"/>
  <c r="P70" i="5"/>
  <c r="E70" i="5" s="1"/>
  <c r="P71" i="5"/>
  <c r="E71" i="5" s="1"/>
  <c r="P72" i="5"/>
  <c r="E72" i="5" s="1"/>
  <c r="P73" i="5"/>
  <c r="E73" i="5" s="1"/>
  <c r="P74" i="5"/>
  <c r="E74" i="5" s="1"/>
  <c r="P68" i="5"/>
  <c r="E68" i="5" s="1"/>
  <c r="P42" i="5"/>
  <c r="H42" i="5" s="1"/>
  <c r="P43" i="5"/>
  <c r="H43" i="5" s="1"/>
  <c r="P44" i="5"/>
  <c r="H44" i="5" s="1"/>
  <c r="P45" i="5"/>
  <c r="H45" i="5" s="1"/>
  <c r="P46" i="5"/>
  <c r="H46" i="5" s="1"/>
  <c r="P47" i="5"/>
  <c r="H47" i="5" s="1"/>
  <c r="P48" i="5"/>
  <c r="H48" i="5" s="1"/>
  <c r="P49" i="5"/>
  <c r="H49" i="5" s="1"/>
  <c r="P50" i="5"/>
  <c r="H50" i="5" s="1"/>
  <c r="P51" i="5"/>
  <c r="H51" i="5" s="1"/>
  <c r="P52" i="5"/>
  <c r="H52" i="5" s="1"/>
  <c r="P53" i="5"/>
  <c r="H53" i="5" s="1"/>
  <c r="P54" i="5"/>
  <c r="H54" i="5" s="1"/>
  <c r="X35" i="36" l="1"/>
  <c r="X27" i="36"/>
  <c r="X34" i="36"/>
  <c r="X19" i="36"/>
  <c r="X36" i="36"/>
  <c r="X28" i="36"/>
  <c r="X26" i="36"/>
  <c r="X20" i="36"/>
  <c r="X22" i="36"/>
  <c r="X37" i="36"/>
  <c r="X33" i="36"/>
  <c r="X29" i="36"/>
  <c r="X25" i="36"/>
  <c r="X21" i="36"/>
  <c r="X16" i="36"/>
  <c r="X18" i="36"/>
  <c r="AC10" i="43"/>
  <c r="AC59" i="43"/>
  <c r="AC58" i="43"/>
  <c r="AC57" i="43"/>
  <c r="AC56" i="43"/>
  <c r="AC55" i="43"/>
  <c r="AC54" i="43"/>
  <c r="AC53" i="43"/>
  <c r="AC52" i="43"/>
  <c r="AC51" i="43"/>
  <c r="AC50" i="43"/>
  <c r="AC49" i="43"/>
  <c r="AC48" i="43"/>
  <c r="AC47" i="43"/>
  <c r="AC46" i="43"/>
  <c r="AC45" i="43"/>
  <c r="AC44" i="43"/>
  <c r="AC43" i="43"/>
  <c r="AC42" i="43"/>
  <c r="AC41" i="43"/>
  <c r="AC40" i="43"/>
  <c r="AC39" i="43"/>
  <c r="AC38" i="43"/>
  <c r="AC37" i="43"/>
  <c r="AC36" i="43"/>
  <c r="AC35" i="43"/>
  <c r="AC34" i="43"/>
  <c r="AC33" i="43"/>
  <c r="AC32" i="43"/>
  <c r="AC31" i="43"/>
  <c r="AC30" i="43"/>
  <c r="AC29" i="43"/>
  <c r="AC28" i="43"/>
  <c r="AC27" i="43"/>
  <c r="AC26" i="43"/>
  <c r="AC25" i="43"/>
  <c r="AC24" i="43"/>
  <c r="AC23" i="43"/>
  <c r="AC22" i="43"/>
  <c r="AC21" i="43"/>
  <c r="AC20" i="43"/>
  <c r="AC19" i="43"/>
  <c r="AC18" i="43"/>
  <c r="AC17" i="43"/>
  <c r="AC16" i="43"/>
  <c r="AC15" i="43"/>
  <c r="AC14" i="43"/>
  <c r="AC13" i="43"/>
  <c r="AC12" i="43"/>
  <c r="AC11" i="43"/>
  <c r="AE59" i="43"/>
  <c r="AF59" i="43" s="1"/>
  <c r="AE58" i="43"/>
  <c r="AF58" i="43" s="1"/>
  <c r="AE57" i="43"/>
  <c r="AF57" i="43" s="1"/>
  <c r="AE56" i="43"/>
  <c r="AF56" i="43" s="1"/>
  <c r="AE55" i="43"/>
  <c r="AF55" i="43" s="1"/>
  <c r="AE54" i="43"/>
  <c r="AF54" i="43" s="1"/>
  <c r="AE53" i="43"/>
  <c r="AF53" i="43" s="1"/>
  <c r="AE52" i="43"/>
  <c r="AF52" i="43" s="1"/>
  <c r="AE51" i="43"/>
  <c r="AF51" i="43" s="1"/>
  <c r="AE50" i="43"/>
  <c r="AF50" i="43" s="1"/>
  <c r="AE49" i="43"/>
  <c r="AF49" i="43" s="1"/>
  <c r="AE48" i="43"/>
  <c r="AF48" i="43" s="1"/>
  <c r="AE47" i="43"/>
  <c r="AF47" i="43" s="1"/>
  <c r="AE46" i="43"/>
  <c r="AF46" i="43" s="1"/>
  <c r="AE45" i="43"/>
  <c r="AF45" i="43" s="1"/>
  <c r="AE44" i="43"/>
  <c r="AF44" i="43" s="1"/>
  <c r="AE43" i="43"/>
  <c r="AF43" i="43" s="1"/>
  <c r="AE42" i="43"/>
  <c r="AF42" i="43" s="1"/>
  <c r="AE41" i="43"/>
  <c r="AF41" i="43" s="1"/>
  <c r="AE40" i="43"/>
  <c r="AF40" i="43" s="1"/>
  <c r="AE39" i="43"/>
  <c r="AF39" i="43" s="1"/>
  <c r="AE38" i="43"/>
  <c r="AF38" i="43" s="1"/>
  <c r="AE37" i="43"/>
  <c r="AF37" i="43" s="1"/>
  <c r="AE36" i="43"/>
  <c r="AF36" i="43" s="1"/>
  <c r="AE35" i="43"/>
  <c r="AF35" i="43" s="1"/>
  <c r="AE34" i="43"/>
  <c r="AF34" i="43" s="1"/>
  <c r="AE33" i="43"/>
  <c r="AF33" i="43" s="1"/>
  <c r="AE32" i="43"/>
  <c r="AF32" i="43" s="1"/>
  <c r="AE31" i="43"/>
  <c r="AF31" i="43" s="1"/>
  <c r="AE30" i="43"/>
  <c r="AF30" i="43" s="1"/>
  <c r="AE29" i="43"/>
  <c r="AF29" i="43" s="1"/>
  <c r="AE28" i="43"/>
  <c r="AF28" i="43" s="1"/>
  <c r="AE27" i="43"/>
  <c r="AF27" i="43" s="1"/>
  <c r="AE26" i="43"/>
  <c r="AF26" i="43" s="1"/>
  <c r="AE25" i="43"/>
  <c r="AF25" i="43" s="1"/>
  <c r="AE24" i="43"/>
  <c r="AF24" i="43" s="1"/>
  <c r="AE23" i="43"/>
  <c r="AF23" i="43" s="1"/>
  <c r="AE22" i="43"/>
  <c r="AF22" i="43" s="1"/>
  <c r="AE21" i="43"/>
  <c r="AF21" i="43" s="1"/>
  <c r="AE20" i="43"/>
  <c r="AF20" i="43" s="1"/>
  <c r="AE19" i="43"/>
  <c r="AF19" i="43" s="1"/>
  <c r="AE18" i="43"/>
  <c r="AF18" i="43" s="1"/>
  <c r="AE17" i="43"/>
  <c r="AF17" i="43" s="1"/>
  <c r="AE16" i="43"/>
  <c r="AF16" i="43" s="1"/>
  <c r="AE15" i="43"/>
  <c r="AF15" i="43" s="1"/>
  <c r="AE14" i="43"/>
  <c r="AF14" i="43" s="1"/>
  <c r="AE13" i="43"/>
  <c r="AF13" i="43" s="1"/>
  <c r="AE12" i="43"/>
  <c r="AF12" i="43" s="1"/>
  <c r="AE11" i="43"/>
  <c r="AF11" i="43" s="1"/>
  <c r="AC10" i="46"/>
  <c r="AC11" i="46"/>
  <c r="AC12" i="46"/>
  <c r="AC13" i="46"/>
  <c r="AC14" i="46"/>
  <c r="AC15" i="46"/>
  <c r="AC16" i="46"/>
  <c r="AC17" i="46"/>
  <c r="AC18" i="46"/>
  <c r="AC19" i="46"/>
  <c r="AC20" i="46"/>
  <c r="AC21" i="46"/>
  <c r="AC22" i="46"/>
  <c r="AC23" i="46"/>
  <c r="AC24" i="46"/>
  <c r="AC25" i="46"/>
  <c r="AC26" i="46"/>
  <c r="AC27" i="46"/>
  <c r="AC28" i="46"/>
  <c r="AC29" i="46"/>
  <c r="AC30" i="46"/>
  <c r="AC31" i="46"/>
  <c r="AC32" i="46"/>
  <c r="AC33" i="46"/>
  <c r="AC34" i="46"/>
  <c r="AC35" i="46"/>
  <c r="AC36" i="46"/>
  <c r="AC37" i="46"/>
  <c r="AC38" i="46"/>
  <c r="AC39" i="46"/>
  <c r="AC40" i="46"/>
  <c r="AC41" i="46"/>
  <c r="AC42" i="46"/>
  <c r="AC43" i="46"/>
  <c r="AC44" i="46"/>
  <c r="AC45" i="46"/>
  <c r="AC46" i="46"/>
  <c r="AC47" i="46"/>
  <c r="AC48" i="46"/>
  <c r="AC49" i="46"/>
  <c r="AC50" i="46"/>
  <c r="AC51" i="46"/>
  <c r="AC52" i="46"/>
  <c r="AC53" i="46"/>
  <c r="AC54" i="46"/>
  <c r="AC55" i="46"/>
  <c r="AC56" i="46"/>
  <c r="AC57" i="46"/>
  <c r="AC58" i="46"/>
  <c r="AC59" i="46"/>
  <c r="AE59" i="46"/>
  <c r="AF59" i="46" s="1"/>
  <c r="AG59" i="46" s="1"/>
  <c r="AE58" i="46"/>
  <c r="AF58" i="46" s="1"/>
  <c r="AG58" i="46" s="1"/>
  <c r="AE57" i="46"/>
  <c r="AF57" i="46" s="1"/>
  <c r="AG57" i="46" s="1"/>
  <c r="AE56" i="46"/>
  <c r="AF56" i="46" s="1"/>
  <c r="AG56" i="46" s="1"/>
  <c r="AE55" i="46"/>
  <c r="AF55" i="46" s="1"/>
  <c r="AG55" i="46" s="1"/>
  <c r="AE54" i="46"/>
  <c r="AF54" i="46" s="1"/>
  <c r="AG54" i="46" s="1"/>
  <c r="AE53" i="46"/>
  <c r="AF53" i="46" s="1"/>
  <c r="AG53" i="46" s="1"/>
  <c r="AE52" i="46"/>
  <c r="AF52" i="46" s="1"/>
  <c r="AG52" i="46" s="1"/>
  <c r="AE51" i="46"/>
  <c r="AF51" i="46" s="1"/>
  <c r="AG51" i="46" s="1"/>
  <c r="AE50" i="46"/>
  <c r="AF50" i="46" s="1"/>
  <c r="AG50" i="46" s="1"/>
  <c r="AE49" i="46"/>
  <c r="AF49" i="46" s="1"/>
  <c r="AG49" i="46" s="1"/>
  <c r="AE48" i="46"/>
  <c r="AF48" i="46" s="1"/>
  <c r="AG48" i="46" s="1"/>
  <c r="AE47" i="46"/>
  <c r="AF47" i="46" s="1"/>
  <c r="AG47" i="46" s="1"/>
  <c r="AE46" i="46"/>
  <c r="AF46" i="46" s="1"/>
  <c r="AG46" i="46" s="1"/>
  <c r="AE45" i="46"/>
  <c r="AF45" i="46" s="1"/>
  <c r="AG45" i="46" s="1"/>
  <c r="AE44" i="46"/>
  <c r="AF44" i="46" s="1"/>
  <c r="AG44" i="46" s="1"/>
  <c r="AE43" i="46"/>
  <c r="AF43" i="46" s="1"/>
  <c r="AG43" i="46" s="1"/>
  <c r="AE42" i="46"/>
  <c r="AF42" i="46" s="1"/>
  <c r="AG42" i="46" s="1"/>
  <c r="AE41" i="46"/>
  <c r="AF41" i="46" s="1"/>
  <c r="AG41" i="46" s="1"/>
  <c r="AE40" i="46"/>
  <c r="AF40" i="46" s="1"/>
  <c r="AG40" i="46" s="1"/>
  <c r="AE39" i="46"/>
  <c r="AF39" i="46" s="1"/>
  <c r="AG39" i="46" s="1"/>
  <c r="AE38" i="46"/>
  <c r="AF38" i="46" s="1"/>
  <c r="AG38" i="46" s="1"/>
  <c r="AE37" i="46"/>
  <c r="AF37" i="46" s="1"/>
  <c r="AG37" i="46" s="1"/>
  <c r="AE36" i="46"/>
  <c r="AF36" i="46" s="1"/>
  <c r="AG36" i="46" s="1"/>
  <c r="AE35" i="46"/>
  <c r="AF35" i="46" s="1"/>
  <c r="AG35" i="46" s="1"/>
  <c r="AE34" i="46"/>
  <c r="AF34" i="46" s="1"/>
  <c r="AG34" i="46" s="1"/>
  <c r="AE33" i="46"/>
  <c r="AF33" i="46" s="1"/>
  <c r="AG33" i="46" s="1"/>
  <c r="AE32" i="46"/>
  <c r="AF32" i="46" s="1"/>
  <c r="AG32" i="46" s="1"/>
  <c r="AE31" i="46"/>
  <c r="AF31" i="46" s="1"/>
  <c r="AG31" i="46" s="1"/>
  <c r="AE30" i="46"/>
  <c r="AF30" i="46" s="1"/>
  <c r="AG30" i="46" s="1"/>
  <c r="AE29" i="46"/>
  <c r="AF29" i="46" s="1"/>
  <c r="AG29" i="46" s="1"/>
  <c r="AE28" i="46"/>
  <c r="AF28" i="46" s="1"/>
  <c r="AG28" i="46" s="1"/>
  <c r="AE27" i="46"/>
  <c r="AF27" i="46" s="1"/>
  <c r="AG27" i="46" s="1"/>
  <c r="AE26" i="46"/>
  <c r="AF26" i="46" s="1"/>
  <c r="AG26" i="46" s="1"/>
  <c r="AE25" i="46"/>
  <c r="AF25" i="46" s="1"/>
  <c r="AG25" i="46" s="1"/>
  <c r="AE24" i="46"/>
  <c r="AF24" i="46" s="1"/>
  <c r="AG24" i="46" s="1"/>
  <c r="AE23" i="46"/>
  <c r="AF23" i="46" s="1"/>
  <c r="AG23" i="46" s="1"/>
  <c r="AE22" i="46"/>
  <c r="AF22" i="46" s="1"/>
  <c r="AG22" i="46" s="1"/>
  <c r="AE21" i="46"/>
  <c r="AF21" i="46" s="1"/>
  <c r="AG21" i="46" s="1"/>
  <c r="AE20" i="46"/>
  <c r="AF20" i="46" s="1"/>
  <c r="AG20" i="46" s="1"/>
  <c r="AE19" i="46"/>
  <c r="AF19" i="46" s="1"/>
  <c r="AG19" i="46" s="1"/>
  <c r="AE18" i="46"/>
  <c r="AF18" i="46" s="1"/>
  <c r="AG18" i="46" s="1"/>
  <c r="AE17" i="46"/>
  <c r="AF17" i="46" s="1"/>
  <c r="AG17" i="46" s="1"/>
  <c r="AE16" i="46"/>
  <c r="AF16" i="46" s="1"/>
  <c r="AG16" i="46" s="1"/>
  <c r="AE15" i="46"/>
  <c r="AF15" i="46" s="1"/>
  <c r="AG15" i="46" s="1"/>
  <c r="AE14" i="46"/>
  <c r="AF14" i="46" s="1"/>
  <c r="AG14" i="46" s="1"/>
  <c r="AE13" i="46"/>
  <c r="AF13" i="46" s="1"/>
  <c r="AG13" i="46" s="1"/>
  <c r="AE12" i="46"/>
  <c r="AF12" i="46" s="1"/>
  <c r="AG12" i="46" s="1"/>
  <c r="AE11" i="46"/>
  <c r="AF11" i="46" s="1"/>
  <c r="AG11" i="46" s="1"/>
  <c r="D101" i="5"/>
  <c r="D23" i="19" s="1"/>
  <c r="E23" i="19" s="1"/>
  <c r="G48" i="26"/>
  <c r="D23" i="26"/>
  <c r="D26" i="19" s="1"/>
  <c r="E26" i="19" s="1"/>
  <c r="X17" i="36"/>
  <c r="X14" i="36"/>
  <c r="X15" i="36"/>
  <c r="AE10" i="43"/>
  <c r="AF10" i="43" s="1"/>
  <c r="X13" i="36"/>
  <c r="T15" i="36"/>
  <c r="U15" i="36" s="1"/>
  <c r="T16" i="36"/>
  <c r="U16" i="36" s="1"/>
  <c r="T17" i="36"/>
  <c r="U17" i="36" s="1"/>
  <c r="T18" i="36"/>
  <c r="U18" i="36" s="1"/>
  <c r="T19" i="36"/>
  <c r="U19" i="36" s="1"/>
  <c r="T20" i="36"/>
  <c r="U20" i="36" s="1"/>
  <c r="T21" i="36"/>
  <c r="U21" i="36" s="1"/>
  <c r="T22" i="36"/>
  <c r="U22" i="36" s="1"/>
  <c r="T23" i="36"/>
  <c r="U23" i="36" s="1"/>
  <c r="T24" i="36"/>
  <c r="U24" i="36" s="1"/>
  <c r="T25" i="36"/>
  <c r="U25" i="36" s="1"/>
  <c r="T26" i="36"/>
  <c r="U26" i="36" s="1"/>
  <c r="T27" i="36"/>
  <c r="U27" i="36" s="1"/>
  <c r="T28" i="36"/>
  <c r="U28" i="36" s="1"/>
  <c r="T29" i="36"/>
  <c r="U29" i="36" s="1"/>
  <c r="T30" i="36"/>
  <c r="U30" i="36" s="1"/>
  <c r="T31" i="36"/>
  <c r="U31" i="36" s="1"/>
  <c r="T32" i="36"/>
  <c r="U32" i="36" s="1"/>
  <c r="T33" i="36"/>
  <c r="U33" i="36" s="1"/>
  <c r="T34" i="36"/>
  <c r="U34" i="36" s="1"/>
  <c r="T35" i="36"/>
  <c r="U35" i="36" s="1"/>
  <c r="T36" i="36"/>
  <c r="U36" i="36" s="1"/>
  <c r="T37" i="36"/>
  <c r="U37" i="36" s="1"/>
  <c r="T13" i="36"/>
  <c r="U13" i="36" s="1"/>
  <c r="T14" i="36"/>
  <c r="U14" i="36" s="1"/>
  <c r="Q46" i="42"/>
  <c r="Q47" i="42"/>
  <c r="Q48" i="42"/>
  <c r="R48" i="42" s="1"/>
  <c r="S48" i="42" s="1"/>
  <c r="Q49" i="42"/>
  <c r="R49" i="42" s="1"/>
  <c r="S49" i="42" s="1"/>
  <c r="Q50" i="42"/>
  <c r="R50" i="42" s="1"/>
  <c r="S50" i="42" s="1"/>
  <c r="Q51" i="42"/>
  <c r="R51" i="42" s="1"/>
  <c r="S51" i="42" s="1"/>
  <c r="Q52" i="42"/>
  <c r="R52" i="42" s="1"/>
  <c r="S52" i="42" s="1"/>
  <c r="Q53" i="42"/>
  <c r="R53" i="42" s="1"/>
  <c r="S53" i="42" s="1"/>
  <c r="Q54" i="42"/>
  <c r="R54" i="42" s="1"/>
  <c r="S54" i="42" s="1"/>
  <c r="Q55" i="42"/>
  <c r="R55" i="42" s="1"/>
  <c r="S55" i="42" s="1"/>
  <c r="Q56" i="42"/>
  <c r="R56" i="42" s="1"/>
  <c r="S56" i="42" s="1"/>
  <c r="Q57" i="42"/>
  <c r="R57" i="42" s="1"/>
  <c r="S57" i="42" s="1"/>
  <c r="Q58" i="42"/>
  <c r="R58" i="42" s="1"/>
  <c r="S58" i="42" s="1"/>
  <c r="Q59" i="42"/>
  <c r="R59" i="42" s="1"/>
  <c r="S59" i="42" s="1"/>
  <c r="Q60" i="42"/>
  <c r="R60" i="42" s="1"/>
  <c r="S60" i="42" s="1"/>
  <c r="Q61" i="42"/>
  <c r="R61" i="42" s="1"/>
  <c r="S61" i="42" s="1"/>
  <c r="Q62" i="42"/>
  <c r="R62" i="42" s="1"/>
  <c r="S62" i="42" s="1"/>
  <c r="Q63" i="42"/>
  <c r="R63" i="42" s="1"/>
  <c r="S63" i="42" s="1"/>
  <c r="Q64" i="42"/>
  <c r="R64" i="42" s="1"/>
  <c r="S64" i="42" s="1"/>
  <c r="Q65" i="42"/>
  <c r="R65" i="42" s="1"/>
  <c r="S65" i="42" s="1"/>
  <c r="Q66" i="42"/>
  <c r="R66" i="42" s="1"/>
  <c r="S66" i="42" s="1"/>
  <c r="Q67" i="42"/>
  <c r="R67" i="42" s="1"/>
  <c r="S67" i="42" s="1"/>
  <c r="Q68" i="42"/>
  <c r="R68" i="42" s="1"/>
  <c r="S68" i="42" s="1"/>
  <c r="Q69" i="42"/>
  <c r="R69" i="42" s="1"/>
  <c r="S69" i="42" s="1"/>
  <c r="Q45" i="42"/>
  <c r="Q10" i="42"/>
  <c r="R10" i="42" s="1"/>
  <c r="Q11" i="42"/>
  <c r="R11" i="42" s="1"/>
  <c r="Q12" i="42"/>
  <c r="R12" i="42" s="1"/>
  <c r="Q34" i="42"/>
  <c r="R34" i="42" s="1"/>
  <c r="Q33" i="42"/>
  <c r="R33" i="42" s="1"/>
  <c r="Q32" i="42"/>
  <c r="R32" i="42" s="1"/>
  <c r="Q31" i="42"/>
  <c r="R31" i="42" s="1"/>
  <c r="Q30" i="42"/>
  <c r="R30" i="42" s="1"/>
  <c r="Q29" i="42"/>
  <c r="R29" i="42" s="1"/>
  <c r="Q28" i="42"/>
  <c r="R28" i="42" s="1"/>
  <c r="Q27" i="42"/>
  <c r="R27" i="42" s="1"/>
  <c r="Q26" i="42"/>
  <c r="R26" i="42" s="1"/>
  <c r="Q25" i="42"/>
  <c r="R25" i="42" s="1"/>
  <c r="Q24" i="42"/>
  <c r="R24" i="42" s="1"/>
  <c r="Q23" i="42"/>
  <c r="R23" i="42" s="1"/>
  <c r="Q22" i="42"/>
  <c r="R22" i="42" s="1"/>
  <c r="Q21" i="42"/>
  <c r="R21" i="42" s="1"/>
  <c r="Q20" i="42"/>
  <c r="R20" i="42" s="1"/>
  <c r="Q19" i="42"/>
  <c r="R19" i="42" s="1"/>
  <c r="Q18" i="42"/>
  <c r="R18" i="42" s="1"/>
  <c r="Q17" i="42"/>
  <c r="R17" i="42" s="1"/>
  <c r="Q16" i="42"/>
  <c r="R16" i="42" s="1"/>
  <c r="Q15" i="42"/>
  <c r="R15" i="42" s="1"/>
  <c r="Q14" i="42"/>
  <c r="R14" i="42" s="1"/>
  <c r="Q13" i="42"/>
  <c r="R13" i="42" s="1"/>
  <c r="E61" i="39"/>
  <c r="D25" i="19" s="1"/>
  <c r="E25" i="19" s="1"/>
  <c r="P27" i="5"/>
  <c r="E27" i="5" s="1"/>
  <c r="P28" i="5"/>
  <c r="E28" i="5" s="1"/>
  <c r="P29" i="5"/>
  <c r="E29" i="5" s="1"/>
  <c r="P30" i="5"/>
  <c r="E30" i="5" s="1"/>
  <c r="P31" i="5"/>
  <c r="E31" i="5" s="1"/>
  <c r="P26" i="5"/>
  <c r="E26" i="5" s="1"/>
  <c r="P15" i="5"/>
  <c r="S15" i="5" s="1"/>
  <c r="P10" i="5"/>
  <c r="S10" i="5" s="1"/>
  <c r="U10" i="5" s="1"/>
  <c r="P11" i="5"/>
  <c r="S11" i="5" s="1"/>
  <c r="P12" i="5"/>
  <c r="S12" i="5" s="1"/>
  <c r="U12" i="5" s="1"/>
  <c r="P13" i="5"/>
  <c r="S13" i="5" s="1"/>
  <c r="P14" i="5"/>
  <c r="S14" i="5" s="1"/>
  <c r="U14" i="5" s="1"/>
  <c r="P9" i="5"/>
  <c r="I5" i="20"/>
  <c r="H5" i="20"/>
  <c r="Q12" i="5" s="1"/>
  <c r="T12" i="5" s="1"/>
  <c r="P62" i="43" l="1"/>
  <c r="P62" i="46"/>
  <c r="H36" i="42"/>
  <c r="J39" i="36"/>
  <c r="R45" i="42"/>
  <c r="S45" i="42" s="1"/>
  <c r="R47" i="42"/>
  <c r="S47" i="42" s="1"/>
  <c r="R46" i="42"/>
  <c r="S46" i="42" s="1"/>
  <c r="Q15" i="5"/>
  <c r="T15" i="5" s="1"/>
  <c r="Q14" i="5"/>
  <c r="T14" i="5" s="1"/>
  <c r="Q10" i="5"/>
  <c r="T10" i="5" s="1"/>
  <c r="E10" i="5" s="1"/>
  <c r="Q13" i="5"/>
  <c r="T13" i="5" s="1"/>
  <c r="R15" i="5"/>
  <c r="R9" i="5"/>
  <c r="R14" i="5"/>
  <c r="R10" i="5"/>
  <c r="R11" i="5"/>
  <c r="Q9" i="5"/>
  <c r="T9" i="5" s="1"/>
  <c r="R12" i="5"/>
  <c r="Q11" i="5"/>
  <c r="T11" i="5" s="1"/>
  <c r="R13" i="5"/>
  <c r="U13" i="5"/>
  <c r="U11" i="5"/>
  <c r="U15" i="5"/>
  <c r="E12" i="5"/>
  <c r="E14" i="5"/>
  <c r="S9" i="5"/>
  <c r="E15" i="5" l="1"/>
  <c r="E11" i="5"/>
  <c r="I72" i="42"/>
  <c r="D24" i="19" s="1"/>
  <c r="D27" i="19" s="1"/>
  <c r="E13" i="5"/>
  <c r="U9" i="5"/>
  <c r="E9" i="5" s="1"/>
  <c r="E17" i="5" l="1"/>
  <c r="BC5" i="36"/>
  <c r="H56" i="5" l="1"/>
  <c r="E33" i="5" l="1"/>
  <c r="D17" i="19" s="1"/>
  <c r="E24" i="19" l="1"/>
  <c r="E27" i="19" s="1"/>
  <c r="E76" i="5" l="1"/>
  <c r="D20" i="19" s="1"/>
  <c r="D29" i="19" s="1"/>
  <c r="E20" i="19" l="1"/>
  <c r="E17" i="19" l="1"/>
  <c r="D32" i="19"/>
  <c r="E29" i="19" l="1"/>
  <c r="E32" i="19"/>
  <c r="D33" i="19"/>
  <c r="E33"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Miriam Torres</author>
  </authors>
  <commentList>
    <comment ref="D8" authorId="0" shapeId="0" xr:uid="{FDBC1C31-8C15-4802-8244-490827306810}">
      <text>
        <r>
          <rPr>
            <b/>
            <sz val="9"/>
            <color indexed="81"/>
            <rFont val="Tahoma"/>
            <family val="2"/>
          </rPr>
          <t xml:space="preserve">Indica las áreas de restauración a las que corresponden los datos.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Rafael Villalobos</author>
    <author>Miriam Torres</author>
  </authors>
  <commentList>
    <comment ref="B9" authorId="0" shapeId="0" xr:uid="{592BA5FB-EF21-406F-8295-AF0A2E688319}">
      <text>
        <r>
          <rPr>
            <sz val="11"/>
            <color theme="1"/>
            <rFont val="Calibri"/>
            <family val="2"/>
            <scheme val="minor"/>
          </rPr>
          <t>Número de trayecto</t>
        </r>
      </text>
    </comment>
    <comment ref="G9" authorId="0" shapeId="0" xr:uid="{61F7CAEE-DBBE-4832-A4A0-70768EE8C03B}">
      <text>
        <r>
          <rPr>
            <sz val="11"/>
            <color theme="1"/>
            <rFont val="Calibri"/>
            <family val="2"/>
            <scheme val="minor"/>
          </rPr>
          <t>Cantidad de combustible consumida expresada en litros para vehículos NO eléctricos</t>
        </r>
      </text>
    </comment>
    <comment ref="H9" authorId="1" shapeId="0" xr:uid="{42DF4A8B-8B1D-4969-A101-7D9299D8FEEB}">
      <text>
        <r>
          <rPr>
            <b/>
            <sz val="9"/>
            <color indexed="81"/>
            <rFont val="Tahoma"/>
            <family val="2"/>
          </rPr>
          <t>Sólo vehículos eléctricos</t>
        </r>
      </text>
    </comment>
    <comment ref="C43" authorId="0" shapeId="0" xr:uid="{FAE824CC-CE6A-481B-8F0C-DC96A426B244}">
      <text>
        <r>
          <rPr>
            <sz val="11"/>
            <color theme="1"/>
            <rFont val="Calibri"/>
            <family val="2"/>
            <scheme val="minor"/>
          </rPr>
          <t xml:space="preserve">Dependiendo de la selección, se ha de completar las columnas correspondientes a "Vehículo propio o compartido" o "Transporte público". </t>
        </r>
      </text>
    </comment>
    <comment ref="I43" authorId="0" shapeId="0" xr:uid="{84939B5A-2193-4082-ACF0-26600D3DBF11}">
      <text>
        <r>
          <rPr>
            <sz val="11"/>
            <color theme="1"/>
            <rFont val="Calibri"/>
            <family val="2"/>
            <scheme val="minor"/>
          </rPr>
          <t>Distància recorreguda incloent anada i volta expressada en quilòmetres (km)</t>
        </r>
      </text>
    </comment>
    <comment ref="E44" authorId="1" shapeId="0" xr:uid="{74FB1688-A9F9-40F9-A750-59F6EC62081A}">
      <text>
        <r>
          <rPr>
            <sz val="11"/>
            <color indexed="81"/>
            <rFont val="Calibri"/>
            <family val="2"/>
            <scheme val="minor"/>
          </rPr>
          <t>Imprescindible indicar</t>
        </r>
      </text>
    </comment>
    <comment ref="G44" authorId="0" shapeId="0" xr:uid="{8BC5215F-EC3A-4139-9824-5870935CB7FE}">
      <text>
        <r>
          <rPr>
            <sz val="11"/>
            <color theme="1"/>
            <rFont val="Calibri"/>
            <family val="2"/>
            <scheme val="minor"/>
          </rPr>
          <t>Cantidad de combustible consumida expresada en litros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Rafael Villalobos</author>
    <author>Miriam Torres</author>
  </authors>
  <commentList>
    <comment ref="B11" authorId="0" shapeId="0" xr:uid="{A1DA1571-3FD6-48B9-A0EC-78C9A98012A5}">
      <text>
        <r>
          <rPr>
            <sz val="11"/>
            <color theme="1"/>
            <rFont val="Calibri"/>
            <family val="2"/>
            <scheme val="minor"/>
          </rPr>
          <t xml:space="preserve">Número de trajecte
</t>
        </r>
      </text>
    </comment>
    <comment ref="F11" authorId="1" shapeId="0" xr:uid="{8C8E736E-DB44-4EA0-83DA-495042B5236C}">
      <text>
        <r>
          <rPr>
            <sz val="11"/>
            <color theme="1"/>
            <rFont val="Calibri"/>
            <family val="2"/>
            <scheme val="minor"/>
          </rPr>
          <t>Indica la distancia desde el origen (por ejemplo, la fábrica) hasta su destinación (por ejemplo, el recinto)</t>
        </r>
      </text>
    </comment>
    <comment ref="I11" authorId="1" shapeId="0" xr:uid="{DC9CEFAA-7E87-4926-99B9-2F88749A9084}">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Rafael Villalobos</author>
  </authors>
  <commentList>
    <comment ref="F9" authorId="0" shapeId="0" xr:uid="{C7C55DC3-AD5F-42D3-BA14-37325E2BD7DE}">
      <text>
        <r>
          <rPr>
            <sz val="11"/>
            <color theme="1"/>
            <rFont val="Calibri"/>
            <family val="2"/>
            <scheme val="minor"/>
          </rPr>
          <t xml:space="preserve">Distancia recorrida incluida la IDA y VUELTA expresada en km total
</t>
        </r>
      </text>
    </comment>
    <comment ref="G9" authorId="0" shapeId="0" xr:uid="{DED428BC-1361-473A-AC1F-88BF546CC471}">
      <text>
        <r>
          <rPr>
            <sz val="11"/>
            <color theme="1"/>
            <rFont val="Calibri"/>
            <family val="2"/>
            <scheme val="minor"/>
          </rPr>
          <t xml:space="preserve">Distancia recorrida incluida IDA y VUELTA en km
</t>
        </r>
      </text>
    </comment>
    <comment ref="J9" authorId="0" shapeId="0" xr:uid="{47AE3FCD-5C27-4DE9-8ED0-E4539628293D}">
      <text>
        <r>
          <rPr>
            <sz val="11"/>
            <color theme="1"/>
            <rFont val="Calibri"/>
            <family val="2"/>
            <scheme val="minor"/>
          </rPr>
          <t xml:space="preserve">Distancia recorrida por trayecto (km)
</t>
        </r>
      </text>
    </comment>
    <comment ref="P9" authorId="0" shapeId="0" xr:uid="{B08C9F3F-9167-4A15-84B9-B58D58767068}">
      <text>
        <r>
          <rPr>
            <sz val="11"/>
            <color theme="1"/>
            <rFont val="Calibri"/>
            <family val="2"/>
            <scheme val="minor"/>
          </rPr>
          <t>Cantidad de combustible consumida expresada en litros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Rafael Villalobos</author>
    <author>Miriam Torres</author>
  </authors>
  <commentList>
    <comment ref="P8" authorId="0" shapeId="0" xr:uid="{6499378D-CC16-4432-A88A-14F000FB86EE}">
      <text>
        <r>
          <rPr>
            <sz val="11"/>
            <color theme="1"/>
            <rFont val="Calibri"/>
            <family val="2"/>
            <scheme val="minor"/>
          </rPr>
          <t>Distància recorreguda incloent anada i volta expressada en quilòmetres (km)</t>
        </r>
      </text>
    </comment>
    <comment ref="F9" authorId="0" shapeId="0" xr:uid="{89BC7B93-B6A4-4EA9-81CF-830060302DD4}">
      <text>
        <r>
          <rPr>
            <sz val="11"/>
            <color theme="1"/>
            <rFont val="Calibri"/>
            <family val="2"/>
            <scheme val="minor"/>
          </rPr>
          <t xml:space="preserve">Distancia recorrida incluida la IDA y VUELTA expresada en km total
</t>
        </r>
      </text>
    </comment>
    <comment ref="G9" authorId="0" shapeId="0" xr:uid="{7E3887CA-28DD-444C-9B58-77A3AB5D6024}">
      <text>
        <r>
          <rPr>
            <sz val="11"/>
            <color theme="1"/>
            <rFont val="Calibri"/>
            <family val="2"/>
            <scheme val="minor"/>
          </rPr>
          <t xml:space="preserve">Distancia recorrida incluida IDA y VUELTA en km
</t>
        </r>
      </text>
    </comment>
    <comment ref="J9" authorId="0" shapeId="0" xr:uid="{586D6400-2995-48E3-8BCD-4F617391977B}">
      <text>
        <r>
          <rPr>
            <sz val="11"/>
            <color theme="1"/>
            <rFont val="Calibri"/>
            <family val="2"/>
            <scheme val="minor"/>
          </rPr>
          <t xml:space="preserve">Distancia recorrida por trayecto (km)
</t>
        </r>
      </text>
    </comment>
    <comment ref="L9" authorId="1" shapeId="0" xr:uid="{3CC61CE5-303A-4FB1-93EC-751675A9BCC8}">
      <text>
        <r>
          <rPr>
            <sz val="11"/>
            <color indexed="81"/>
            <rFont val="Calibri"/>
            <family val="2"/>
            <scheme val="minor"/>
          </rPr>
          <t>Imprescindible indicar</t>
        </r>
      </text>
    </comment>
    <comment ref="N9" authorId="0" shapeId="0" xr:uid="{361EE337-0ACE-4762-B763-605CCD1AB8BD}">
      <text>
        <r>
          <rPr>
            <sz val="11"/>
            <color theme="1"/>
            <rFont val="Calibri"/>
            <family val="2"/>
            <scheme val="minor"/>
          </rPr>
          <t>Cantidad de combustible consumida expresada en litros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G122" authorId="0" shapeId="0" xr:uid="{DD295DE9-6873-4AF8-83E2-E4B01BA4C29B}">
      <text>
        <r>
          <rPr>
            <b/>
            <sz val="8"/>
            <rFont val="Tahoma"/>
            <family val="2"/>
          </rPr>
          <t>Including the indirect effects of non-CO2 emissions</t>
        </r>
      </text>
    </comment>
    <comment ref="H122" authorId="0" shapeId="0" xr:uid="{5BB5F9EF-EB4D-40E7-B3B0-A7959684F3E2}">
      <text>
        <r>
          <rPr>
            <b/>
            <sz val="8"/>
            <rFont val="Tahoma"/>
            <family val="2"/>
          </rPr>
          <t>Direct effects from CO2, CH4 and N2O emissions only</t>
        </r>
      </text>
    </comment>
    <comment ref="C124" authorId="0" shapeId="0" xr:uid="{C7394078-AAED-48FF-BEC2-FF75B68DD497}">
      <text>
        <r>
          <rPr>
            <b/>
            <sz val="8"/>
            <rFont val="Tahoma"/>
            <family val="2"/>
          </rPr>
          <t>Domestic flights are between UK airports.</t>
        </r>
      </text>
    </comment>
    <comment ref="F124" authorId="0" shapeId="0" xr:uid="{6FFD736A-E70B-427C-8916-375778EAE194}">
      <text>
        <r>
          <rPr>
            <b/>
            <sz val="8"/>
            <rFont val="Tahoma"/>
            <family val="2"/>
          </rPr>
          <t>The distance travelled by individual passengers per transport mode</t>
        </r>
      </text>
    </comment>
    <comment ref="C125" authorId="0" shapeId="0" xr:uid="{15323BA8-448B-4693-BD64-B86BAC4A11F4}">
      <text>
        <r>
          <rPr>
            <b/>
            <sz val="8"/>
            <rFont val="Tahoma"/>
            <family val="2"/>
          </rPr>
          <t>International flights to/from the UK, typically to Europe (up to 3700km distance).</t>
        </r>
      </text>
    </comment>
    <comment ref="F125" authorId="0" shapeId="0" xr:uid="{8D1DDE5C-B9C9-4AE6-8CC7-FE34D0823781}">
      <text>
        <r>
          <rPr>
            <b/>
            <sz val="8"/>
            <rFont val="Tahoma"/>
            <family val="2"/>
          </rPr>
          <t>The distance travelled by individual passengers per transport mode</t>
        </r>
      </text>
    </comment>
    <comment ref="F126" authorId="0" shapeId="0" xr:uid="{5245707A-6D7F-4EC4-B356-B84C6F106FFF}">
      <text>
        <r>
          <rPr>
            <b/>
            <sz val="8"/>
            <rFont val="Tahoma"/>
            <family val="2"/>
          </rPr>
          <t>The distance travelled by individual passengers per transport mode</t>
        </r>
      </text>
    </comment>
    <comment ref="C127" authorId="0" shapeId="0" xr:uid="{438B4C1A-247B-4E6C-B47C-04AFAE3FD429}">
      <text>
        <r>
          <rPr>
            <b/>
            <sz val="8"/>
            <rFont val="Tahoma"/>
            <family val="2"/>
          </rPr>
          <t>Long haul international flights to/from the UK, typically to non-European destinations (over 3700km distance).</t>
        </r>
      </text>
    </comment>
    <comment ref="F127" authorId="0" shapeId="0" xr:uid="{F280FAAD-7B2D-4462-AA7D-CDCEAB245738}">
      <text>
        <r>
          <rPr>
            <b/>
            <sz val="8"/>
            <rFont val="Tahoma"/>
            <family val="2"/>
          </rPr>
          <t>The distance travelled by individual passengers per transport mode</t>
        </r>
      </text>
    </comment>
    <comment ref="F128" authorId="0" shapeId="0" xr:uid="{D2C3DA78-0280-4FAA-B3CB-68D2D3D23C7B}">
      <text>
        <r>
          <rPr>
            <b/>
            <sz val="8"/>
            <rFont val="Tahoma"/>
            <family val="2"/>
          </rPr>
          <t>The distance travelled by individual passengers per transport mode</t>
        </r>
      </text>
    </comment>
    <comment ref="F129" authorId="0" shapeId="0" xr:uid="{278E28B2-F02B-418B-8979-CCC49D499821}">
      <text>
        <r>
          <rPr>
            <b/>
            <sz val="8"/>
            <rFont val="Tahoma"/>
            <family val="2"/>
          </rPr>
          <t>The distance travelled by individual passengers per transport mode</t>
        </r>
      </text>
    </comment>
    <comment ref="F130" authorId="0" shapeId="0" xr:uid="{42A18C83-6C3F-4FCF-8E93-32A9E5C99C97}">
      <text>
        <r>
          <rPr>
            <b/>
            <sz val="8"/>
            <rFont val="Tahoma"/>
            <family val="2"/>
          </rPr>
          <t>The distance travelled by individual passengers per transport mode</t>
        </r>
      </text>
    </comment>
    <comment ref="C131" authorId="0" shapeId="0" xr:uid="{6E586E6A-B18D-4809-B994-399F8D6181D3}">
      <text>
        <r>
          <rPr>
            <b/>
            <sz val="8"/>
            <rFont val="Tahoma"/>
            <family val="2"/>
          </rPr>
          <t>International flights to/from non-UK countries.</t>
        </r>
      </text>
    </comment>
    <comment ref="F131" authorId="0" shapeId="0" xr:uid="{BB557240-C83B-46B1-9368-EC7F9AFAF199}">
      <text>
        <r>
          <rPr>
            <b/>
            <sz val="8"/>
            <rFont val="Tahoma"/>
            <family val="2"/>
          </rPr>
          <t>The distance travelled by individual passengers per transport mode</t>
        </r>
      </text>
    </comment>
    <comment ref="F132" authorId="0" shapeId="0" xr:uid="{25641222-E2D3-4B10-BF17-9DF059498D71}">
      <text>
        <r>
          <rPr>
            <b/>
            <sz val="8"/>
            <rFont val="Tahoma"/>
            <family val="2"/>
          </rPr>
          <t>The distance travelled by individual passengers per transport mode</t>
        </r>
      </text>
    </comment>
    <comment ref="F133" authorId="0" shapeId="0" xr:uid="{E57ADB7A-9B8F-425A-9B10-F8B65EE02EBE}">
      <text>
        <r>
          <rPr>
            <b/>
            <sz val="8"/>
            <rFont val="Tahoma"/>
            <family val="2"/>
          </rPr>
          <t>The distance travelled by individual passengers per transport mode</t>
        </r>
      </text>
    </comment>
    <comment ref="F134" authorId="0" shapeId="0" xr:uid="{7268C8A9-571E-4702-9F21-478A73E19EDA}">
      <text>
        <r>
          <rPr>
            <b/>
            <sz val="8"/>
            <rFont val="Tahoma"/>
            <family val="2"/>
          </rPr>
          <t>The distance travelled by individual passengers per transport mode</t>
        </r>
      </text>
    </comment>
    <comment ref="D140" authorId="0" shapeId="0" xr:uid="{43F645DE-7BA5-4C55-A4E4-07B370CA1F90}">
      <text>
        <r>
          <rPr>
            <b/>
            <sz val="8"/>
            <rFont val="Tahoma"/>
            <family val="2"/>
          </rPr>
          <t>The distance travelled by individual passengers a transport mode</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<sst xmlns="http://schemas.openxmlformats.org/spreadsheetml/2006/main" count="1415" uniqueCount="733">
  <si>
    <t>Esta calculadora está diseñada para que puedas realizar de manera sencilla un cálculo preciso de la huella de carbono de tu sala. Evaluar la huella de carbono tiene dos beneficios principales: te permite medir y conocer el estado actual de tu sala y te ayuda a fijar metas para mejorar y reducir el impacto negativo de tus actividades. La huella de carbono de cualquier organización o actividad se divide en tres alcances: I, II y III. Los alcances I y II son obligatorios, mientras que el cálculo del alcance III es opcional. Sin embargo, la mayoría de las emisiones asociadas a cualquier actividad se encuentran en este alcance, por lo que te animamos a que completes toda la información posible. También es crucial que determines un período temporal para el cálculo, como por ejemplo, un ciclo de conciertos o un año específico (de enero a diciembre de 2023).</t>
  </si>
  <si>
    <t>¿Qué documentos necesito para comenzar a medir mi Huella de Carbono?</t>
  </si>
  <si>
    <t>Registro de la monitorización de electricidad o en su defecto, factura del consumo eléctrico asociado al recinto o tomas de suministro para el evento*</t>
  </si>
  <si>
    <t>Cantidad de combustible utilizados por los grupos electrógenos (generadores)*</t>
  </si>
  <si>
    <t>Consumos de combustible y registro de transportes asociados a los desplazamientos de proveedores, staff y artistas </t>
  </si>
  <si>
    <t>Registro de viajes, tipo de transporte y alojamientos de artistas y staff</t>
  </si>
  <si>
    <t>Registro de la monitorización de consumos de agua tanto para restauración como duchas y sanitarios así como el registro de compras de bidones</t>
  </si>
  <si>
    <t>Inventariado del consumo y compra de nuevos materiales</t>
  </si>
  <si>
    <t>Certificado proveniente del gestor de residuos sobre las cantidades de residuos generadas según fracción y tipo de tratamiento de residuos empleado</t>
  </si>
  <si>
    <t>Resultados de las encuestas sobre transporte utilizado por la audiencia</t>
  </si>
  <si>
    <t>Número de asistentes total y por día</t>
  </si>
  <si>
    <t>Los resultados aparecen en la pestaña de resultados desglosados por alcance y aspecto contabilizado dentro del cálculo, así como por asistente y facturación</t>
  </si>
  <si>
    <t>*Obligatorio</t>
  </si>
  <si>
    <t>1 Nota En el caso de realizar estimaciones por falta de datos se tiene que estimar siempre el valor más aproximado y siempre priorizando la peor casuística posible</t>
  </si>
  <si>
    <t>A continuación detallamos los aspectos que se incluyen en esta calculadora:</t>
  </si>
  <si>
    <t>Consumos</t>
  </si>
  <si>
    <t>Gas</t>
  </si>
  <si>
    <t>Detalla la cantidad de gas utilizado por parte de restauración y otras posibles fuentes durante la realización del evento, incluyendo las fases de montaje y desmontaje.</t>
  </si>
  <si>
    <t>Climatización - emisiones fugitivas</t>
  </si>
  <si>
    <t>Detalla la cantidad de emisiones fugitivas y el tipo de gas refrigerante derivado de las posibles recargas llevadas a cabo para el evento.</t>
  </si>
  <si>
    <t>Grupos electrógenos fijos y móviles</t>
  </si>
  <si>
    <t>Detalla la cantidad de combustible utilizado por parte de toda la maquinaria y generadores durante la realización del evento, incluyendo las fases de montaje y desmontaje.</t>
  </si>
  <si>
    <t>Electricidad</t>
  </si>
  <si>
    <t xml:space="preserve">Detalla la cantidad de electricidad consumida durante la realización del evento, incluyendo las fases de montaje y desmontaje. </t>
  </si>
  <si>
    <t>Agua*</t>
  </si>
  <si>
    <t>Detalla la cantidad de agua cosumida durante la realización del evento derivada de todas las tomas y puntos de agua disponibles, incluyendo las fases de montaje y desmontaje.</t>
  </si>
  <si>
    <t>Movilidad interna (runners y staff)*</t>
  </si>
  <si>
    <t>Detalla los desplazamientos asociados a la movilidad de runners y staff durante la realización del evento, incluyendo las fases de montaje y desmontaje.</t>
  </si>
  <si>
    <t>Movilidad proveedores*</t>
  </si>
  <si>
    <t>Detalla los desplazamientos asociados a la movilidad y carga de proveedores durante la realización del evento, incluyendo las fases de montaje y desmontaje.</t>
  </si>
  <si>
    <t>Movilidad artistas*</t>
  </si>
  <si>
    <t>Detalla los desplazamientos y viajes asociados a la movilidad de artistas durante la realización del evento.</t>
  </si>
  <si>
    <t>Movilidad audiencia*</t>
  </si>
  <si>
    <t>Detalla los viajes y transportes asociados a la movilidad de la audiencia durante la realización del evento.</t>
  </si>
  <si>
    <t>Alojamientos (artistas y staff)*</t>
  </si>
  <si>
    <t>Detalla las pernoctaciones asociadas al número de trabajadores de staff y artistas durante la realización del evento, incluyendo las fases de montaje y desmontaje.</t>
  </si>
  <si>
    <t>Materiales y residuos*</t>
  </si>
  <si>
    <t>Detalla los materiales de nueva adquisición así como las cantidades de residuos generados y su tratamiento durante la realización del evento, incluyendo las fases de montaje y desmontaje.</t>
  </si>
  <si>
    <t>*Estos aspectos forman parte del Alcance III de la Huella de Carbono, es altamente recomendable su detalle y valoración para aumentar la rigurosidad del cálculo y poder estimar el potencial impacto ambiental del evento.</t>
  </si>
  <si>
    <t>Información general HUELLA DE CARBONO</t>
  </si>
  <si>
    <t>Año de cálculo*:</t>
  </si>
  <si>
    <t>Nombre de la organización(es):</t>
  </si>
  <si>
    <t>Nombre de la sala(s):</t>
  </si>
  <si>
    <t>Alcance de la Huella:</t>
  </si>
  <si>
    <t>*Recuerda que esta calculadora tiene un tiempo hábil hasta junio de 2025</t>
  </si>
  <si>
    <t>kgCO2eq</t>
  </si>
  <si>
    <t>tCO2eq</t>
  </si>
  <si>
    <t>ALCANCE 1 - Consumos de gas, instalaciones fijas y emisiones fugitivas (climatización)</t>
  </si>
  <si>
    <t>Emisiones totales</t>
  </si>
  <si>
    <t>ALCANCE 2 - Consumos eléctricos</t>
  </si>
  <si>
    <t>ALCANCE 3</t>
  </si>
  <si>
    <t>Agua</t>
  </si>
  <si>
    <t>Movilidad</t>
  </si>
  <si>
    <t>Alojamientos</t>
  </si>
  <si>
    <t>Materiales y residuos</t>
  </si>
  <si>
    <t>TOTAL EMISIONES</t>
  </si>
  <si>
    <t>INTENSIDAD DE LAS EMISIONES (CO2eq/asistente)</t>
  </si>
  <si>
    <t>INTENSIDAD DE LAS EMISIONES
(CO2eq/total € facturados)</t>
  </si>
  <si>
    <t>Número de asistentes:</t>
  </si>
  <si>
    <t>Facturación del proyecto:</t>
  </si>
  <si>
    <t>&lt;= Anterior (Resultados)</t>
  </si>
  <si>
    <t>Siguiente (Movilidad interna) =&gt;</t>
  </si>
  <si>
    <t xml:space="preserve">Indica el número de botellas de gas y su capacidad utilizadas por tus restauradores por sección si pudiese.  </t>
  </si>
  <si>
    <t>Fuente de datos: registro de solicitud por parte del equipo de restauración.</t>
  </si>
  <si>
    <t>Número de botellas</t>
  </si>
  <si>
    <t>Cantidad de carga (kg gas)</t>
  </si>
  <si>
    <t>Zona de restauración</t>
  </si>
  <si>
    <t xml:space="preserve">Emisiones generadas (kgCO2eq) </t>
  </si>
  <si>
    <t xml:space="preserve">Emisiones generadas CO2 (kgCO2) </t>
  </si>
  <si>
    <t xml:space="preserve">Emisiones generadas (kgCH4) </t>
  </si>
  <si>
    <t xml:space="preserve">Emisiones generadas (kgN2O) </t>
  </si>
  <si>
    <t>Emisiones generadas CO2 (kgCO2eq)</t>
  </si>
  <si>
    <t>Emisiones generadas CH4 (kgCO2eq)</t>
  </si>
  <si>
    <t>Emisiones generadas N2O (kgCO2eq)</t>
  </si>
  <si>
    <t>150</t>
  </si>
  <si>
    <t>1</t>
  </si>
  <si>
    <t>2</t>
  </si>
  <si>
    <t xml:space="preserve">Subtotal 
(kgCO2eq) </t>
  </si>
  <si>
    <t>Climatización - Emisiones fugitivas</t>
  </si>
  <si>
    <t>Moir</t>
  </si>
  <si>
    <t xml:space="preserve">Incluye la cantidad y tipo de refrigerante recargada en tus aparatos de climatización. </t>
  </si>
  <si>
    <t>Fuente de datos: ficha técnica de reparación de equipos de climatización</t>
  </si>
  <si>
    <t>Tipos de gas refrigerante</t>
  </si>
  <si>
    <t>Cantidad recargada (kg)</t>
  </si>
  <si>
    <t>Área de climatización</t>
  </si>
  <si>
    <t>Emisiones generadas (kgCO2eq/kg)</t>
  </si>
  <si>
    <t>potencial de calentamiento</t>
  </si>
  <si>
    <t>R-404A</t>
  </si>
  <si>
    <t>Camerinos</t>
  </si>
  <si>
    <t>Indica por favor la cantidad de combustible consumida por grupos electrógenos (generadores) de todas las áreas aplicables, por ejemplo: escenarios, climatización (aire acondicionado en camerinos), y otros.</t>
  </si>
  <si>
    <t>Fuente de datos: datos resultantes de la monitorización o con la estimación oportuna según el número de recargas y la cantidad de combustible por cada recarga.</t>
  </si>
  <si>
    <t>ID</t>
  </si>
  <si>
    <t>Grupo electrógeno</t>
  </si>
  <si>
    <t>Zona de suministro</t>
  </si>
  <si>
    <t>Número de recargas</t>
  </si>
  <si>
    <t>Consumo por recarga (l)</t>
  </si>
  <si>
    <t>Consumo total monitorizado (l)</t>
  </si>
  <si>
    <t xml:space="preserve">Emisiones generades (kgCO2eq) </t>
  </si>
  <si>
    <t>Emisiones generadas CO2
(kg CO2eq)</t>
  </si>
  <si>
    <t>Generador Stage V</t>
  </si>
  <si>
    <t>Escenario 1 y 2</t>
  </si>
  <si>
    <t>Generador X</t>
  </si>
  <si>
    <t>Climatización - Aires acondicionados camerinos</t>
  </si>
  <si>
    <t>3</t>
  </si>
  <si>
    <t>4</t>
  </si>
  <si>
    <t>5</t>
  </si>
  <si>
    <t>6</t>
  </si>
  <si>
    <t>7</t>
  </si>
  <si>
    <t>8</t>
  </si>
  <si>
    <t>9</t>
  </si>
  <si>
    <t>10</t>
  </si>
  <si>
    <t>11</t>
  </si>
  <si>
    <t>12</t>
  </si>
  <si>
    <t>13</t>
  </si>
  <si>
    <t>14</t>
  </si>
  <si>
    <t>Indica el consumo asociado a tu consumo de electricidad durante el festival y la comercializadora contratada.</t>
  </si>
  <si>
    <t>Fuente de datos: facturas de electricidad.</t>
  </si>
  <si>
    <t>Consumo (kWh)</t>
  </si>
  <si>
    <t>Zona</t>
  </si>
  <si>
    <t>Comercializadora</t>
  </si>
  <si>
    <t>Emisiones generadas (kgCO2eq)</t>
  </si>
  <si>
    <t>Factor de emisión</t>
  </si>
  <si>
    <t>Baños</t>
  </si>
  <si>
    <t>DISA ENERGIA ELECTRICA S.L.</t>
  </si>
  <si>
    <t>Backstage - producción</t>
  </si>
  <si>
    <t>Escenarios</t>
  </si>
  <si>
    <t>Restauración</t>
  </si>
  <si>
    <t>Climatización</t>
  </si>
  <si>
    <t>Total recinto</t>
  </si>
  <si>
    <t xml:space="preserve">Incluye los datos en relación al consumo y tratamiento de agua, si es posible por áreas, que ha tenido lugar en el festival. </t>
  </si>
  <si>
    <t>Fuente de datos: datos obtenidos de la monitorización del consumo (si hubiese) o facturas de agua.</t>
  </si>
  <si>
    <t>Consumo (m3)</t>
  </si>
  <si>
    <t xml:space="preserve"> Zona</t>
  </si>
  <si>
    <t>Emisiones generadas (kgCO2eq/m3)</t>
  </si>
  <si>
    <t>Camerinos  con duchas</t>
  </si>
  <si>
    <t>Tratamiento de agua (m3)</t>
  </si>
  <si>
    <t xml:space="preserve">Zona </t>
  </si>
  <si>
    <t>Movilidad según pasajeros o vehículos</t>
  </si>
  <si>
    <t>&lt;= Anterior (Consumos)</t>
  </si>
  <si>
    <t>Siguiente (Movilidad proveedores) =&gt;</t>
  </si>
  <si>
    <t>Runners</t>
  </si>
  <si>
    <t>Por favor, indica el nombre de trayectos, tipos de vehículo y consumo de combustible asociado de los viajes que su responsabilidad directa es del festival, runners para artistas, staff y necesidades.</t>
  </si>
  <si>
    <t>Fuente de datos: información solicitada a los trabajadores</t>
  </si>
  <si>
    <t>VEHICULOS</t>
  </si>
  <si>
    <t>Trayecto</t>
  </si>
  <si>
    <t>Orígen</t>
  </si>
  <si>
    <t>Destino</t>
  </si>
  <si>
    <t>Tipo de vehículo</t>
  </si>
  <si>
    <t>Tipos de combustible</t>
  </si>
  <si>
    <r>
      <rPr>
        <b/>
        <sz val="11"/>
        <color rgb="FF000000"/>
        <rFont val="Calibri"/>
        <family val="2"/>
        <scheme val="minor"/>
      </rPr>
      <t xml:space="preserve">Consumo (litros)
</t>
    </r>
    <r>
      <rPr>
        <b/>
        <sz val="10"/>
        <color rgb="FF000000"/>
        <rFont val="Calibri"/>
        <family val="2"/>
        <scheme val="minor"/>
      </rPr>
      <t>*Sólo para vehículos no eléctricos</t>
    </r>
  </si>
  <si>
    <r>
      <rPr>
        <b/>
        <sz val="11"/>
        <color rgb="FF000000"/>
        <rFont val="Calibri"/>
        <family val="2"/>
        <scheme val="minor"/>
      </rPr>
      <t xml:space="preserve">Distancia recorrida (km) 
</t>
    </r>
    <r>
      <rPr>
        <b/>
        <sz val="10"/>
        <color rgb="FF000000"/>
        <rFont val="Calibri"/>
        <family val="2"/>
        <scheme val="minor"/>
      </rPr>
      <t>*Sólo para vehículos eléctricos</t>
    </r>
  </si>
  <si>
    <t>CONCADENADO</t>
  </si>
  <si>
    <t xml:space="preserve">Factor de emisión CO2 </t>
  </si>
  <si>
    <t>Emisiones CO2eq (kgCO2e/l)</t>
  </si>
  <si>
    <t>Furgoneta</t>
  </si>
  <si>
    <t>Gasolina  (l)</t>
  </si>
  <si>
    <t>STAFF</t>
  </si>
  <si>
    <t>Tipo de transporte</t>
  </si>
  <si>
    <t>Vehiculo propio o compartido</t>
  </si>
  <si>
    <t>Transporte público</t>
  </si>
  <si>
    <r>
      <rPr>
        <b/>
        <sz val="11"/>
        <color rgb="FF000000"/>
        <rFont val="Calibri"/>
        <family val="2"/>
        <scheme val="minor"/>
      </rPr>
      <t xml:space="preserve">Distancia total (km)
</t>
    </r>
    <r>
      <rPr>
        <b/>
        <sz val="10"/>
        <color rgb="FF000000"/>
        <rFont val="Calibri"/>
        <family val="2"/>
        <scheme val="minor"/>
      </rPr>
      <t>*Sólo para vehículo eléctrico y transporte público</t>
    </r>
  </si>
  <si>
    <t>TRANSPORTE PÚBLICO</t>
  </si>
  <si>
    <t>¿Conductor o pasajero?</t>
  </si>
  <si>
    <t>Tipo de combustible</t>
  </si>
  <si>
    <t>Consumo (litros)</t>
  </si>
  <si>
    <t>Tipo de transporte público</t>
  </si>
  <si>
    <t>CONDUCTOR PASAJERO - Emisiones CO2eq (kgCO2e/l)</t>
  </si>
  <si>
    <t xml:space="preserve">TREN / BUS
Factor de emisión CO2 </t>
  </si>
  <si>
    <t>Emisiones CO2eq (kgCO2e/km)</t>
  </si>
  <si>
    <t>Vehículo propio o compartido</t>
  </si>
  <si>
    <t>Ciclomotor</t>
  </si>
  <si>
    <t>Conductor</t>
  </si>
  <si>
    <t>Autobús urbano</t>
  </si>
  <si>
    <t>Pasajero</t>
  </si>
  <si>
    <t>A pie</t>
  </si>
  <si>
    <t>Híbrido</t>
  </si>
  <si>
    <t>Autobús</t>
  </si>
  <si>
    <t>Gasóleo (l)</t>
  </si>
  <si>
    <t>Renfe media distancia (regional)</t>
  </si>
  <si>
    <t>Movilidad proveedores</t>
  </si>
  <si>
    <t>&lt;= Anterior (Movilidad interna)</t>
  </si>
  <si>
    <t>Siguiente (Movilidad artistas) =&gt;</t>
  </si>
  <si>
    <t>PROVEEDORES</t>
  </si>
  <si>
    <t>Por favor, indica el número de trayectos así como el tipo de vehículo y combustible utilizado por tu proveedor por cada compra realizada durante tu año de cálculo. Indica también la carga asociada a cada trayecto, es decir, la cantidad de compra que aparece en la la tuya factura y aprecio la distancia entre el punto de origen y tu sala.</t>
  </si>
  <si>
    <t>Por ejemplo: Durante mi periodo de cálculo he tenido 10 repartos de fruta para cockteles de 10kg de limones por reparto. La distancia entre la fábrica y mi sala es de 12km. Mi repartidor trabaja en furgoneta y, le he preguntado y es una furgoneta diésel.</t>
  </si>
  <si>
    <t>Fuente de datos: información solicitada a los proveedores y facturas de compra</t>
  </si>
  <si>
    <t>ID proveedor</t>
  </si>
  <si>
    <t>Origen</t>
  </si>
  <si>
    <r>
      <rPr>
        <b/>
        <sz val="11"/>
        <color rgb="FF000000"/>
        <rFont val="Calibri"/>
        <family val="2"/>
        <scheme val="minor"/>
      </rPr>
      <t xml:space="preserve">Distancia del trayecto </t>
    </r>
    <r>
      <rPr>
        <b/>
        <sz val="9"/>
        <color rgb="FF000000"/>
        <rFont val="Calibri"/>
        <family val="2"/>
        <scheme val="minor"/>
      </rPr>
      <t>*Sólo para camiones de transporte y vehículos eléctricos</t>
    </r>
  </si>
  <si>
    <t>Cantidad de combustible consumida (l)</t>
  </si>
  <si>
    <t>Carga (kg)</t>
  </si>
  <si>
    <t>CAMIONES</t>
  </si>
  <si>
    <t>Emisiones CO2eq (kgCO2e/unidad)</t>
  </si>
  <si>
    <t>Coche</t>
  </si>
  <si>
    <t>Camión refrigerado</t>
  </si>
  <si>
    <t>Movilidad artistas</t>
  </si>
  <si>
    <t>&lt;= Anterior (Movilidad proveedores)</t>
  </si>
  <si>
    <t>Siguiente (Movilidad audiencia) =&gt;</t>
  </si>
  <si>
    <t>ARTISTAS</t>
  </si>
  <si>
    <t>BANDA</t>
  </si>
  <si>
    <t>VIAJE (incluido IDA y VUELTA)</t>
  </si>
  <si>
    <t>TRASLADOS PROPIOS (NO runners)*</t>
  </si>
  <si>
    <t>Tren</t>
  </si>
  <si>
    <t>Barco</t>
  </si>
  <si>
    <t>Avión</t>
  </si>
  <si>
    <t>Número de trayectos</t>
  </si>
  <si>
    <t>Vehículo propio</t>
  </si>
  <si>
    <t>*Todo lo relacionado con runners ha de incluir en el apartado de movilidad interna</t>
  </si>
  <si>
    <t>TREN</t>
  </si>
  <si>
    <t>BARCO</t>
  </si>
  <si>
    <t>AVION</t>
  </si>
  <si>
    <t>Tipo de tren</t>
  </si>
  <si>
    <t>Diistancia total (km)</t>
  </si>
  <si>
    <t>Distancia total (km)</t>
  </si>
  <si>
    <t>Tipo de recorrido</t>
  </si>
  <si>
    <t>Tipo de billete</t>
  </si>
  <si>
    <t>Distancia (km)</t>
  </si>
  <si>
    <t>Tipo de vehiculo</t>
  </si>
  <si>
    <t>Consumo (litros) 
POR TRAYECTO</t>
  </si>
  <si>
    <t>Renfe larga distancia</t>
  </si>
  <si>
    <t>Domésticos</t>
  </si>
  <si>
    <t>Economy class</t>
  </si>
  <si>
    <t>&lt;= Anterior (Movilidad artistas)</t>
  </si>
  <si>
    <t>Siguiente (Alojamientos) =&gt;</t>
  </si>
  <si>
    <t>AUDIENCIA</t>
  </si>
  <si>
    <t>Alojamiento</t>
  </si>
  <si>
    <t>&lt;= Anterior (Movilidad audiencia)</t>
  </si>
  <si>
    <t>Siguiente (Materiales y Residuos) =&gt;</t>
  </si>
  <si>
    <t>Artistas</t>
  </si>
  <si>
    <t>Staff</t>
  </si>
  <si>
    <t>Artista / Banda ID</t>
  </si>
  <si>
    <t>Localización (País)</t>
  </si>
  <si>
    <t>Número de noches</t>
  </si>
  <si>
    <t>Número de habitaciones</t>
  </si>
  <si>
    <t>Staff ID</t>
  </si>
  <si>
    <t>Emisiones generadas CO2 (kg CO2eq / noche)</t>
  </si>
  <si>
    <t>Bélgica</t>
  </si>
  <si>
    <t>Materiales y Residuos</t>
  </si>
  <si>
    <t>Materiales</t>
  </si>
  <si>
    <t>Indica la cantidad en toneladas de materiales adquiridos de nueva compra para la celebración del festival (incluye merchandising).</t>
  </si>
  <si>
    <t>Fuente de datos: facturas de compras</t>
  </si>
  <si>
    <t>Tipo de material</t>
  </si>
  <si>
    <t>Descripción</t>
  </si>
  <si>
    <t>Cantidad (kg)</t>
  </si>
  <si>
    <t>Emisiones generadas (gCO2eq/kg)</t>
  </si>
  <si>
    <t xml:space="preserve">Papel y cartón </t>
  </si>
  <si>
    <t>Folios y otras hojas de papel no reciclable</t>
  </si>
  <si>
    <t>Plásticos</t>
  </si>
  <si>
    <t>Latas y aluminio</t>
  </si>
  <si>
    <t>Vidrio</t>
  </si>
  <si>
    <t>Comida y bebida</t>
  </si>
  <si>
    <t>IT grandes items</t>
  </si>
  <si>
    <t>Ordenadores de nueva adquisición (no alquilados)</t>
  </si>
  <si>
    <t>IT pequeños items</t>
  </si>
  <si>
    <t>Tablets u otros dispositivos electrónicos de nueva adquisición (no alquilados)</t>
  </si>
  <si>
    <t>Pilas alcalinas</t>
  </si>
  <si>
    <t>Pilas alcalinas nuevas</t>
  </si>
  <si>
    <t>Textiles</t>
  </si>
  <si>
    <t>Totebags, camisetas de merchandising, landyards y otras piezas de tela de nueva compra</t>
  </si>
  <si>
    <t>Maderas</t>
  </si>
  <si>
    <t>Metales</t>
  </si>
  <si>
    <t>Neumáticos</t>
  </si>
  <si>
    <t>Generación de residuos</t>
  </si>
  <si>
    <t>Indica las cantidades en toneladas de residuos reciclados y el tratamiento</t>
  </si>
  <si>
    <t xml:space="preserve">Fuente de datos: certificados de los correspondientes gestores de residuos. </t>
  </si>
  <si>
    <t>Reciclaje (t de residuos)</t>
  </si>
  <si>
    <t>Tratamiento (t de residuos)</t>
  </si>
  <si>
    <t>Reciclaje (emisiones generadas en CO2eq)</t>
  </si>
  <si>
    <t>Tratamiento (emisiones generadas en CO2eq)</t>
  </si>
  <si>
    <t>Abierto (generación de otros materiales)</t>
  </si>
  <si>
    <t>Cerrado (generación del mismo material)</t>
  </si>
  <si>
    <t>Incineración</t>
  </si>
  <si>
    <t>Compostaje</t>
  </si>
  <si>
    <t>Vertedero</t>
  </si>
  <si>
    <t>1. Consumos de electricidad</t>
  </si>
  <si>
    <t>1. Gas Natural*</t>
  </si>
  <si>
    <t>Alcance</t>
  </si>
  <si>
    <t>Comercializadoras 2023</t>
  </si>
  <si>
    <t>Factores de emisión 2023</t>
  </si>
  <si>
    <t>Unidad</t>
  </si>
  <si>
    <t>Factor de emisión gas natural (kgCO2/kWh)</t>
  </si>
  <si>
    <t>Factor de emisión gas natural (kgCH4/kWh)</t>
  </si>
  <si>
    <t>Factor de emisión gas natural (kgN2O/kWh)</t>
  </si>
  <si>
    <t>I y II</t>
  </si>
  <si>
    <t>Comercializadoras que han efectuado redenciones de GdO</t>
  </si>
  <si>
    <t>I, II y III</t>
  </si>
  <si>
    <t>AB ENERGÍA 1903, S.L.</t>
  </si>
  <si>
    <t>kgCO2eq / kwh</t>
  </si>
  <si>
    <t>Fuente: MITECO. Factores de emisión 2023</t>
  </si>
  <si>
    <t>ACCIONA GREEN ENERGY DEVELOPMENTS SL</t>
  </si>
  <si>
    <r>
      <t>* Factor de emisión del gas natural expresado en kgC</t>
    </r>
    <r>
      <rPr>
        <sz val="10"/>
        <rFont val="Calibri"/>
        <family val="2"/>
        <scheme val="minor"/>
      </rPr>
      <t>O</t>
    </r>
    <r>
      <rPr>
        <vertAlign val="subscript"/>
        <sz val="10"/>
        <rFont val="Calibri"/>
        <family val="2"/>
        <scheme val="minor"/>
      </rPr>
      <t>2</t>
    </r>
    <r>
      <rPr>
        <sz val="10"/>
        <rFont val="Calibri"/>
        <family val="2"/>
        <scheme val="minor"/>
      </rPr>
      <t>/kWh</t>
    </r>
    <r>
      <rPr>
        <vertAlign val="subscript"/>
        <sz val="10"/>
        <rFont val="Calibri"/>
        <family val="2"/>
        <scheme val="minor"/>
      </rPr>
      <t>PCS</t>
    </r>
    <r>
      <rPr>
        <sz val="10"/>
        <rFont val="Calibri"/>
        <family val="2"/>
        <scheme val="minor"/>
      </rPr>
      <t xml:space="preserve"> (Poder Calorífico Superior). Para el paso de PCS a PCI se utiliza el factor de conversión de 0,901.</t>
    </r>
  </si>
  <si>
    <t>ACSOL ENERGÍA GLOBAL, S.A.</t>
  </si>
  <si>
    <t>ADEINNOVA ENERGIA S.L</t>
  </si>
  <si>
    <t>ADX Renovables, S.L.</t>
  </si>
  <si>
    <t>AGRI-ENERGIA, S.A.</t>
  </si>
  <si>
    <t>2. Emisiones fugititvas</t>
  </si>
  <si>
    <t>AHORRELUZ SERVICIOS ONLINE S.L</t>
  </si>
  <si>
    <t>AIRE LIMPIO SL</t>
  </si>
  <si>
    <t>Climatización / Refrigeración</t>
  </si>
  <si>
    <t>ALCANZIA ENERGIA, S.L.</t>
  </si>
  <si>
    <t>Nombre</t>
  </si>
  <si>
    <t>Fórmula química</t>
  </si>
  <si>
    <t>PCA 5AR</t>
  </si>
  <si>
    <t>ALPIQ ENERGIA ESPAÑA SAU</t>
  </si>
  <si>
    <t>HFC-23</t>
  </si>
  <si>
    <t>CH2F3</t>
  </si>
  <si>
    <t>ARACAN ENERGIA S.L.</t>
  </si>
  <si>
    <t>HFC-32</t>
  </si>
  <si>
    <t>CH2F2</t>
  </si>
  <si>
    <t>ATENCO ENERGIA SL</t>
  </si>
  <si>
    <t>HFC-41</t>
  </si>
  <si>
    <t>CH3F</t>
  </si>
  <si>
    <t>ATLAS ENERGIA COMERCIAL, S.L.</t>
  </si>
  <si>
    <t>HFC-125</t>
  </si>
  <si>
    <t>C2HF5</t>
  </si>
  <si>
    <t>AUDAX RENOVABLES, S.A</t>
  </si>
  <si>
    <t>HFC-134</t>
  </si>
  <si>
    <t>C2H2F4</t>
  </si>
  <si>
    <t>HFC-134a</t>
  </si>
  <si>
    <t>CH2FCF3</t>
  </si>
  <si>
    <t>AUSARTA PRIMA, S.L.</t>
  </si>
  <si>
    <t>HFC-143</t>
  </si>
  <si>
    <t>C2H3F3.</t>
  </si>
  <si>
    <t>AVANZALIA ENERGIA COMERCIALIZADORA SA</t>
  </si>
  <si>
    <t>HFC-143a</t>
  </si>
  <si>
    <t>C2H3F3</t>
  </si>
  <si>
    <t>AXPO IBERIA S.L.</t>
  </si>
  <si>
    <t>HFC-152</t>
  </si>
  <si>
    <t>CH2FCH2F</t>
  </si>
  <si>
    <t>BIROU GAS S.L.</t>
  </si>
  <si>
    <t>HFC-152a</t>
  </si>
  <si>
    <t>C2H4F2</t>
  </si>
  <si>
    <t>BLUBAT PULSAR, S.L.</t>
  </si>
  <si>
    <t>HFC-161</t>
  </si>
  <si>
    <t>C2H2F</t>
  </si>
  <si>
    <t>BP GAS &amp; POWER IBERIA, S.A.U.</t>
  </si>
  <si>
    <t>HFC-227ea</t>
  </si>
  <si>
    <t>C3HF7</t>
  </si>
  <si>
    <t>CEPSA GAS Y ELECTRICIDAD, S.A.U.</t>
  </si>
  <si>
    <t>HFC-236cb</t>
  </si>
  <si>
    <t>CH2FCF2CF3</t>
  </si>
  <si>
    <t>CIDE HCENERGÍA S.A.U</t>
  </si>
  <si>
    <t>HFC-236ea</t>
  </si>
  <si>
    <t>CHF2CHFCF3</t>
  </si>
  <si>
    <t>CIMA ENERGIA COMERCIALIZADORA SL</t>
  </si>
  <si>
    <t>HFC-236fa</t>
  </si>
  <si>
    <t>C3H2F6</t>
  </si>
  <si>
    <t>COMERCIALIZADORA ADI ESPAÑA, S.L.</t>
  </si>
  <si>
    <t>HFC-245ca</t>
  </si>
  <si>
    <t>C3H3F5</t>
  </si>
  <si>
    <t>COMERCIALIZADORA LERSA, S.L.</t>
  </si>
  <si>
    <t>HFC-245fa</t>
  </si>
  <si>
    <t>CONECTA ENERGIA VERDE, S.L.</t>
  </si>
  <si>
    <t>HFC-365mfc</t>
  </si>
  <si>
    <t>C4H5F5</t>
  </si>
  <si>
    <t>CONECTA2 ENERGIA, S.L.</t>
  </si>
  <si>
    <t>HFC-43-10mee</t>
  </si>
  <si>
    <t>C5H2F10</t>
  </si>
  <si>
    <t>CYE ENERGIA SL</t>
  </si>
  <si>
    <t>HCFC-22</t>
  </si>
  <si>
    <t>CHClF2</t>
  </si>
  <si>
    <t>DAIMUZ ENERGÍA S.L.</t>
  </si>
  <si>
    <t>R-125/143a/134a (44/52/4)</t>
  </si>
  <si>
    <t>R-407A</t>
  </si>
  <si>
    <t>R-32/125/134a (20/40/40)</t>
  </si>
  <si>
    <t>DRK ENERGY, S.L</t>
  </si>
  <si>
    <t>R-407B</t>
  </si>
  <si>
    <t xml:space="preserve">R-32/125/134a (10/70/20)  </t>
  </si>
  <si>
    <t>EBROENERGIA COMERCIALIZADORA, S.L.</t>
  </si>
  <si>
    <t>R-407C</t>
  </si>
  <si>
    <t>R-32/125/134a (23/25/52)</t>
  </si>
  <si>
    <t>ECOFUTURA LUZ ENERGÍA, S.L.U.</t>
  </si>
  <si>
    <t>R-407F</t>
  </si>
  <si>
    <t>R-32/125/134a (30/30/40)</t>
  </si>
  <si>
    <t>EDP CLIENTES SAU</t>
  </si>
  <si>
    <t>R-410A</t>
  </si>
  <si>
    <t xml:space="preserve">R-32/125 (50/50) </t>
  </si>
  <si>
    <t>EDP ESPAÑA, S.A</t>
  </si>
  <si>
    <t>R-410B</t>
  </si>
  <si>
    <t xml:space="preserve">R-32/125 (45/55) </t>
  </si>
  <si>
    <t>ELECTRA ENERGIA, S.A.</t>
  </si>
  <si>
    <t>R-413A</t>
  </si>
  <si>
    <t>R-218/134a/600a (9/88/3)</t>
  </si>
  <si>
    <t>ELECTRA NORTE ENERGÍA, S.A.</t>
  </si>
  <si>
    <t>R-417A</t>
  </si>
  <si>
    <t>R-125/134a/600 (46,6/50/3,4)</t>
  </si>
  <si>
    <t>ELECTRICA DE GUIXES ENERGIA, SL</t>
  </si>
  <si>
    <t>R-417B</t>
  </si>
  <si>
    <t>R-125/134a/600 (79/18,25/2,75)</t>
  </si>
  <si>
    <t>ELECTRICA SEROSENSE, S.L.</t>
  </si>
  <si>
    <t>R-422A</t>
  </si>
  <si>
    <t>R-125/134a/600a (85,1/11,5/3,4)</t>
  </si>
  <si>
    <t>ELECTRICA SOLLERENSE, S.A.</t>
  </si>
  <si>
    <t>R-422D</t>
  </si>
  <si>
    <t>R-125/134a/600a (65,1/31,5/3,4)</t>
  </si>
  <si>
    <t>ELECTRICIDAD ELEIA S.L.</t>
  </si>
  <si>
    <t>R-424A</t>
  </si>
  <si>
    <t>R-125/134a/600a/600/601a (50,5/47/0,9/1/0,6)</t>
  </si>
  <si>
    <t>ELEK COMERCIALIZADORA ELECTRICA S.L.</t>
  </si>
  <si>
    <t>R-426A</t>
  </si>
  <si>
    <t>R-134a/125/600/601a (93/5,1/1,3/0,6)</t>
  </si>
  <si>
    <t>EMPRESA DE ALUMBRADO ELECTRICO DE CEUTA ENERGIA, S.L.</t>
  </si>
  <si>
    <t>R-427A</t>
  </si>
  <si>
    <t>R-32/125/143a/134a (15/25/10/50)</t>
  </si>
  <si>
    <t>EMPRESA DE ALUMBRADO ELECTRICO DE CEUTA, S.A.</t>
  </si>
  <si>
    <t>R-428A</t>
  </si>
  <si>
    <t xml:space="preserve">R-125/143a/600a/290 (77,5/20/1,9/0,6)              </t>
  </si>
  <si>
    <t>ENDESA ENERGÍA RENOVABLE, S.L.</t>
  </si>
  <si>
    <t>R-434A</t>
  </si>
  <si>
    <t>R-125/143a/134a/600a (63,2/18/16/2,8)</t>
  </si>
  <si>
    <t>ENDESA ENERGÍA S.A.U.</t>
  </si>
  <si>
    <t>R-437A</t>
  </si>
  <si>
    <t>R-125/134a/600/601 (19,5/78,5/1,4/0,6)</t>
  </si>
  <si>
    <t>ENDI ENERGY TRADING SL</t>
  </si>
  <si>
    <t>R-438A</t>
  </si>
  <si>
    <t>R-32/125/134a/600/601a (8,5/45/44,2/1,7/0,6)</t>
  </si>
  <si>
    <t>ENERFIA, SL</t>
  </si>
  <si>
    <t>R-442A</t>
  </si>
  <si>
    <t>R-32/125/134a/152a/227ea (31/31/30/3/5)</t>
  </si>
  <si>
    <t>ENERGÍA ECOLÓGICA ECONÓMICA, S.L.</t>
  </si>
  <si>
    <t>R-449A</t>
  </si>
  <si>
    <t>R-32/R-125/HFO-1234yf/R-134a (24,3/24,7/25,3/25,7)</t>
  </si>
  <si>
    <t>ENERGÍA LIBRE COMERCIALIZADORA, S.L.</t>
  </si>
  <si>
    <t>R-452A</t>
  </si>
  <si>
    <t>R-125/R-32/HFO-1234yf (59/11/30)</t>
  </si>
  <si>
    <t>ENERGIA NUFRI SL</t>
  </si>
  <si>
    <t>R-453A</t>
  </si>
  <si>
    <t>R-134a/125/32/227ea/600/601a (53,8/20/20/5/0,6/0,6)</t>
  </si>
  <si>
    <t>ENERGIA VIVA SPAIN, S.L.U.</t>
  </si>
  <si>
    <t>R-507A</t>
  </si>
  <si>
    <t>R-125/143a (50/50)</t>
  </si>
  <si>
    <t>ENERGY BY COGEN S.L.U.</t>
  </si>
  <si>
    <t>Otros</t>
  </si>
  <si>
    <t>-</t>
  </si>
  <si>
    <t>ENERGY STROM XXI SL</t>
  </si>
  <si>
    <t>ENERGYA VM GESTION DE ENERGÍA, S.L</t>
  </si>
  <si>
    <t>ENERGYSAVE PROJECTS S.L</t>
  </si>
  <si>
    <t>ENERPLUS ENERGIA, S.A.</t>
  </si>
  <si>
    <t>3. Consumos de combustibles</t>
  </si>
  <si>
    <t>ENERXIA GALEGA MAIS SLU</t>
  </si>
  <si>
    <t>ENGIE ESPAÑA, S.L</t>
  </si>
  <si>
    <t>Litros de combustible consumidos</t>
  </si>
  <si>
    <t>ENI PLENITUDE IBERIA, S.L.</t>
  </si>
  <si>
    <t>Combustible</t>
  </si>
  <si>
    <t>Factor d'emissió</t>
  </si>
  <si>
    <t>Unitat</t>
  </si>
  <si>
    <t>ENSTROGA, S.L.</t>
  </si>
  <si>
    <t>Gasóleo C (l)</t>
  </si>
  <si>
    <t>kgCO2eq / litre</t>
  </si>
  <si>
    <t>ESCANDINAVA DE ELECTRICIDAD, S.L.U</t>
  </si>
  <si>
    <t>Gasóleo B (l)</t>
  </si>
  <si>
    <t>ESTRATEGIAS ELÉCTRICAS INTEGRALES, S.A.</t>
  </si>
  <si>
    <t>FACTOR ENERGÍA ESPAÑA, S.A.</t>
  </si>
  <si>
    <t>GESTINER INGENIEROS, S.L.</t>
  </si>
  <si>
    <t>GLOBAL BIOSFERA PROTEC S.L</t>
  </si>
  <si>
    <t>4. Consumo y tratamiento de agua</t>
  </si>
  <si>
    <t>GLOBELIGHT ENERGY S.L</t>
  </si>
  <si>
    <t>HANWHA ENERGY RETAIL SPAIN SL</t>
  </si>
  <si>
    <t>Actividad</t>
  </si>
  <si>
    <r>
      <t>Total kg CO</t>
    </r>
    <r>
      <rPr>
        <b/>
        <vertAlign val="subscript"/>
        <sz val="11"/>
        <color indexed="56"/>
        <rFont val="Calibri"/>
        <family val="2"/>
      </rPr>
      <t>2</t>
    </r>
    <r>
      <rPr>
        <b/>
        <sz val="11"/>
        <color indexed="56"/>
        <rFont val="Calibri"/>
        <family val="2"/>
      </rPr>
      <t>e/m3</t>
    </r>
  </si>
  <si>
    <t>HELIOELEC ENERGIA ELECTRICA, S.L.</t>
  </si>
  <si>
    <t>Consumo de agua</t>
  </si>
  <si>
    <t>m3</t>
  </si>
  <si>
    <t>HIDROELÉCTRICA DEL VALIRA, S.L.</t>
  </si>
  <si>
    <t>Tratamiento de agua</t>
  </si>
  <si>
    <t>HOLALUZ-CLIDOM, S.A</t>
  </si>
  <si>
    <t>Fuente: DEFRA 2023 - Water supply &amp; Water treatment</t>
  </si>
  <si>
    <t>IBERDROLA CLIENTES, S.A.U.</t>
  </si>
  <si>
    <t>IBERDROLA SERVICIOS ENERGETICOS, S.A.U.</t>
  </si>
  <si>
    <t>IM3 ENERGIA SL</t>
  </si>
  <si>
    <t>INDEXO ENERGIA SL</t>
  </si>
  <si>
    <t>INER ENERGIA CASTILLA LA MANCHA SL</t>
  </si>
  <si>
    <t>INER EUSKADI, S.L.</t>
  </si>
  <si>
    <t>INGEBAU SOLUCIONES DE MEDIDA, S.L.</t>
  </si>
  <si>
    <t>INTEGRACIÓN EUROPEA DE ENERGIA, S.A.U.</t>
  </si>
  <si>
    <t>INTELIGENCIA PARA EL AHORRO ENERGÉTICO, S.L.</t>
  </si>
  <si>
    <t>IRIS ENERGÍA EFICIENTE S.A.</t>
  </si>
  <si>
    <t>JUAN ENERGY, S.L.</t>
  </si>
  <si>
    <t>LONJAS TECNOLOGÍA, S.A.</t>
  </si>
  <si>
    <t>LOVE ENERGY, S.L.</t>
  </si>
  <si>
    <t>LUZÍA ENERGÍA, S.L</t>
  </si>
  <si>
    <t>LUZY ENERGIA RENOVABLE, S.L.</t>
  </si>
  <si>
    <t>MASQLUZ 2020, S.L.</t>
  </si>
  <si>
    <t>MET ENERGIA ESPAÑA, S.A</t>
  </si>
  <si>
    <t>MY ENERGIA ONER S.L</t>
  </si>
  <si>
    <t>NABALIA ENERGIA 2000 S.A</t>
  </si>
  <si>
    <t>NATURGY CLIENTES, S.A.U.</t>
  </si>
  <si>
    <t>NATURGY IBERIA, S.A.</t>
  </si>
  <si>
    <t>NEOELECTRA  ENERGIA</t>
  </si>
  <si>
    <t>NEXUS ENERGIA SA</t>
  </si>
  <si>
    <t>OCTOPUS ENERGY ESPAÑA, S.L.U.</t>
  </si>
  <si>
    <t>ON DEMAND FACILITIES, SLU</t>
  </si>
  <si>
    <t>PASIÓN ENERGÍA, S.L.</t>
  </si>
  <si>
    <t>PETRONIEVES ENERGIA 1, S.L.</t>
  </si>
  <si>
    <t>PLENA ENERGIA RENOVABLE, S.L.</t>
  </si>
  <si>
    <t>POTENZIA COMERCIALIZADORA SL</t>
  </si>
  <si>
    <t>RECICLAJES ECOLOGICOS NAGINI, S.L.</t>
  </si>
  <si>
    <t>RELUZCA ENERGÍA, S..L.</t>
  </si>
  <si>
    <t>REPSOL COMERCIALIZADORA DE ELECTRICIDAD Y GAS, S.L.U</t>
  </si>
  <si>
    <t>RESPIRA ENERGÍA ESPAÑA, S.L.</t>
  </si>
  <si>
    <t>RESPIRA ENERGIA MEDITERRANIA, S.A.</t>
  </si>
  <si>
    <t>ROFEICA ENERGIA, S.A</t>
  </si>
  <si>
    <t>RONDA OESTE ENERGÍA, S.L</t>
  </si>
  <si>
    <t>SAMPOL INGENIERIA Y OBRAS SA</t>
  </si>
  <si>
    <t>SERVIGAS S XXI SA</t>
  </si>
  <si>
    <t>SHELL ESPAÑA, S.A</t>
  </si>
  <si>
    <t>SOCIEDAD ARAGONESA DE COMERCIALIZACION DE ENERGIA S.L.</t>
  </si>
  <si>
    <t>SWAP ENERGIA SA</t>
  </si>
  <si>
    <t>SYDER COMERCIALIZADORA VERDE SL</t>
  </si>
  <si>
    <t>TELEFÓNICA SOLUCIONES DE INFORMÁTICA Y COMUNICACIONES DE ESPAÑA, S.A.U</t>
  </si>
  <si>
    <t>TENSINA DE ENERGÍA Y SERVICIOS, S.L.</t>
  </si>
  <si>
    <t>THE YELLOW ENERGY, S.L</t>
  </si>
  <si>
    <t>TOTALENERGIES CLIENTES S.A.U.</t>
  </si>
  <si>
    <t>TOTALENERGIES ELECTRICIDAD Y GAS ESPAÑA, S.A.U.</t>
  </si>
  <si>
    <t>TOTALENERGIES MERCADO ESPAÑA, S.A.U</t>
  </si>
  <si>
    <t>TUNERGIA EFICIENCIA ENERGETICA Y RENOVABLE, S.L.</t>
  </si>
  <si>
    <t>VIVO ENERGIA FUTURA S.A</t>
  </si>
  <si>
    <t>WATIO WHOLESALE, S.L</t>
  </si>
  <si>
    <t>WATIUM, S.L.</t>
  </si>
  <si>
    <t>WIND TO MARKET S.A</t>
  </si>
  <si>
    <t>Comercializadoras que no han efectuado redenciones de GdO</t>
  </si>
  <si>
    <t>ACENHOL ENERGIA, S.L.</t>
  </si>
  <si>
    <t>ADELFAS ENERGIA SL</t>
  </si>
  <si>
    <t>AED ENERGIA ELECTRICA, S.L.</t>
  </si>
  <si>
    <t>ALDERAAN ENERGIA, S.L.</t>
  </si>
  <si>
    <t>ALUMBRA CORPORACIÓN, S.L.</t>
  </si>
  <si>
    <t>ANTEA ENERGIA COMERCIALIZADORA SL</t>
  </si>
  <si>
    <t>ASTRALCAD ENERGIA, S.L.</t>
  </si>
  <si>
    <t>BARTER SHARING, S.L.</t>
  </si>
  <si>
    <t>BASSOLS ENERGIA COMERCIAL, S.L</t>
  </si>
  <si>
    <t>BON PREU, SAU</t>
  </si>
  <si>
    <t>BSG ENERGIA S.L.</t>
  </si>
  <si>
    <t>CAPITAL ENERGY COMERCIALIZADORA, S.L.U</t>
  </si>
  <si>
    <t>CATGAS ENERGIA SA</t>
  </si>
  <si>
    <t>CLEARVIEW ENERGY S.L.</t>
  </si>
  <si>
    <t>COMERCAST ENERGIAS, S.L.</t>
  </si>
  <si>
    <t>COMERCIALIZADORA DE ELECTRICIDAD Y GAS DEL MEDITERRÁNEO S.L</t>
  </si>
  <si>
    <t>COMERCIALIZADORA ELECTRICA DE CADIZ, S.A.U</t>
  </si>
  <si>
    <t>COMERCIALIZADORA ENERGÉTICA SOSTENIBLE, S.A.U.</t>
  </si>
  <si>
    <t>COOPERATIVA ELÉCTRICA BENÉFICA SAN FRANCISCO DE ASÍS, COOP. V.</t>
  </si>
  <si>
    <t>COOPERATIVA ELECTRICA DE CASTELLAR, S.C.V (COMERC)</t>
  </si>
  <si>
    <t>COX ENERGÍA COMERCIALIZADORA ESPAÑA S.L.U.</t>
  </si>
  <si>
    <t>CRECE SOLUCIONES DE ENERGÍA, S.L</t>
  </si>
  <si>
    <t>DOMESTICA GAS Y ELECTRICIDAD SLU</t>
  </si>
  <si>
    <t>EKILUZ ENERGÍA COMERCIALIZADORA, S.L.</t>
  </si>
  <si>
    <t>ELECNOVA SIGLO XXI SL</t>
  </si>
  <si>
    <t>ELECTRA AVELLANA COMERCIAL, S.L</t>
  </si>
  <si>
    <t>ELECTRA CALDENSE ENERGIA, S.A.</t>
  </si>
  <si>
    <t>ELECTRA DEL CARDENER ENERGIA, S.A.</t>
  </si>
  <si>
    <t>ELECTRACOMERCIAL CENTELLES,S.L.</t>
  </si>
  <si>
    <t>ELÉCTRICA VAQUER ENERGIA, S.A</t>
  </si>
  <si>
    <t>ELEVA 2 COMERCIALIZADORA, S.L</t>
  </si>
  <si>
    <t>E-LUZ ENERGY SOLUTIONS, S.L.</t>
  </si>
  <si>
    <t>EMAYA, S.A.</t>
  </si>
  <si>
    <t>ENARA GESTIÓN Y MEDIACIÓN, S.L.</t>
  </si>
  <si>
    <t>ENERGÍA COLECTIVA, S.L.</t>
  </si>
  <si>
    <t>ENERGIES RENOVABLES PUBLIQUES DE CATALUNYA, S.A.U.</t>
  </si>
  <si>
    <t>ENERGY PLUS IBERIA, S.L.</t>
  </si>
  <si>
    <t>EPRESA ENERGÍA S.A.</t>
  </si>
  <si>
    <t>ESTABANELL IMPULSA, S.A.U.</t>
  </si>
  <si>
    <t>FORZA  VILALTA GREEN ENERGY, S.L.</t>
  </si>
  <si>
    <t>GABA COMERCIALIZADORA DE ELECTRICIDAD, S.L.U.</t>
  </si>
  <si>
    <t>GASILUZ ECO ENERCIA S.L.</t>
  </si>
  <si>
    <t>GEOATLANTER SA</t>
  </si>
  <si>
    <t>GERENTA ENERGÍA, S.L.U.</t>
  </si>
  <si>
    <t>GNERA ENERGIA Y TECNOLOGIA, S.L.</t>
  </si>
  <si>
    <t>GOIENER S.COOP</t>
  </si>
  <si>
    <t>GURBTEC ENERGIA, S.L.</t>
  </si>
  <si>
    <t>HIDROELÉCTRICA EL CARMEN ENERGÍA, S.L</t>
  </si>
  <si>
    <t>IMPERIUM LUMEN, S.A.</t>
  </si>
  <si>
    <t>KILOWATIOS VERDES S.L.</t>
  </si>
  <si>
    <t>KISHOA, S.L.</t>
  </si>
  <si>
    <t>LA CORRIENTE SOCIEDAD COOPERATIVA</t>
  </si>
  <si>
    <t>LA UNIÓN ELECTRO INDUSTRIAL, S.L.U</t>
  </si>
  <si>
    <t>LABOR SOLIS COMERCIALIZADORA DE ENERGIA, S.L.</t>
  </si>
  <si>
    <t>LUZ SOLIDARIA INCLUSIVA, S.L.</t>
  </si>
  <si>
    <t>LUZ SOLIDARIA S.L.</t>
  </si>
  <si>
    <t>MEGARA ENERGIA SOC. COOP</t>
  </si>
  <si>
    <t>MINAI SERVICIOS ENERGÉTICOS S.L.</t>
  </si>
  <si>
    <t>NOSA ENERXIA SCG</t>
  </si>
  <si>
    <t>NUEVA COMERCIALIZADORA ESPAÑOLA SL</t>
  </si>
  <si>
    <t>OK TU ENERGIA VERDE, S.L.</t>
  </si>
  <si>
    <t>PEPEENERGY, S.L.</t>
  </si>
  <si>
    <t>PROT ENERGIA COMERCIALIZACION, S.L</t>
  </si>
  <si>
    <t>REUS SERVEIS MUNICIPALS, S.A.</t>
  </si>
  <si>
    <t>SISTEMAS URBANOS DE ENERGÍAS RENOVABLES S.L.</t>
  </si>
  <si>
    <t>SOLABRIA S.COOP. - ENERPLUS S.C.</t>
  </si>
  <si>
    <t>SOLAR EAAS, S.L.</t>
  </si>
  <si>
    <t>SOLARPACK ENERGY, S.L.</t>
  </si>
  <si>
    <t>SOLTEC GREEN ENERGY, S.L.</t>
  </si>
  <si>
    <t>SOM ENERGIA SCCL</t>
  </si>
  <si>
    <t>STIN S.A</t>
  </si>
  <si>
    <t>TELECOR S.A. UNIPERSONAL</t>
  </si>
  <si>
    <t>TRACTAMENT I SELECCIÓ DE RESIDUS, S.A.</t>
  </si>
  <si>
    <t>UNIELECTRICA ENERGIA, S.A</t>
  </si>
  <si>
    <t>VODAFONE ENERGÍA, S.L.</t>
  </si>
  <si>
    <t>5. Transportes</t>
  </si>
  <si>
    <t>5.1. Vehículos de carretera: turismos, furgonetas, camiones, autobús y ciclomotores.</t>
  </si>
  <si>
    <r>
      <t>Gasolina  (</t>
    </r>
    <r>
      <rPr>
        <sz val="10"/>
        <color theme="1"/>
        <rFont val="Arial Narrow"/>
        <family val="2"/>
      </rPr>
      <t>l)</t>
    </r>
  </si>
  <si>
    <t>Turismos (M1)</t>
  </si>
  <si>
    <t>kgCO2e/l</t>
  </si>
  <si>
    <t>Furgonetas y furgones (N1)</t>
  </si>
  <si>
    <t>Camiones (N2, N3)</t>
  </si>
  <si>
    <t>Camión</t>
  </si>
  <si>
    <t>Ciclomotores (L1e, L2e)</t>
  </si>
  <si>
    <t>Motocicletas (L3e, L4e, L5e, L6e, L7e)</t>
  </si>
  <si>
    <t>Motocicleta</t>
  </si>
  <si>
    <r>
      <t>E5 (</t>
    </r>
    <r>
      <rPr>
        <sz val="10"/>
        <color theme="1"/>
        <rFont val="Arial Narrow"/>
        <family val="2"/>
      </rPr>
      <t>l)</t>
    </r>
  </si>
  <si>
    <r>
      <t>E10 (</t>
    </r>
    <r>
      <rPr>
        <sz val="10"/>
        <color theme="1"/>
        <rFont val="Arial Narrow"/>
        <family val="2"/>
      </rPr>
      <t>l)</t>
    </r>
  </si>
  <si>
    <r>
      <t>E85 (</t>
    </r>
    <r>
      <rPr>
        <sz val="10"/>
        <color theme="1"/>
        <rFont val="Arial Narrow"/>
        <family val="2"/>
      </rPr>
      <t>l)</t>
    </r>
  </si>
  <si>
    <r>
      <t>E100 (</t>
    </r>
    <r>
      <rPr>
        <sz val="10"/>
        <color theme="1"/>
        <rFont val="Arial Narrow"/>
        <family val="2"/>
      </rPr>
      <t>l)</t>
    </r>
  </si>
  <si>
    <r>
      <t>Gasóleo (</t>
    </r>
    <r>
      <rPr>
        <sz val="10"/>
        <color theme="1"/>
        <rFont val="Arial Narrow"/>
        <family val="2"/>
      </rPr>
      <t>l)</t>
    </r>
  </si>
  <si>
    <t>Autobuses (M2, M3)</t>
  </si>
  <si>
    <r>
      <t>B7 (</t>
    </r>
    <r>
      <rPr>
        <sz val="10"/>
        <color theme="1"/>
        <rFont val="Arial Narrow"/>
        <family val="2"/>
      </rPr>
      <t>l)</t>
    </r>
  </si>
  <si>
    <r>
      <t>B10 (</t>
    </r>
    <r>
      <rPr>
        <sz val="10"/>
        <color theme="1"/>
        <rFont val="Arial Narrow"/>
        <family val="2"/>
      </rPr>
      <t>l)</t>
    </r>
  </si>
  <si>
    <r>
      <t>B20 (</t>
    </r>
    <r>
      <rPr>
        <sz val="10"/>
        <color theme="1"/>
        <rFont val="Arial Narrow"/>
        <family val="2"/>
      </rPr>
      <t>l)</t>
    </r>
  </si>
  <si>
    <r>
      <t>B30 (</t>
    </r>
    <r>
      <rPr>
        <sz val="10"/>
        <color theme="1"/>
        <rFont val="Arial Narrow"/>
        <family val="2"/>
      </rPr>
      <t>l)</t>
    </r>
  </si>
  <si>
    <r>
      <t>B100 (</t>
    </r>
    <r>
      <rPr>
        <sz val="10"/>
        <color theme="1"/>
        <rFont val="Arial Narrow"/>
        <family val="2"/>
      </rPr>
      <t>l)</t>
    </r>
  </si>
  <si>
    <t>LPG (l)</t>
  </si>
  <si>
    <t>CNG (kg)</t>
  </si>
  <si>
    <t>LNG (kg)</t>
  </si>
  <si>
    <t>AdBlue (l)</t>
  </si>
  <si>
    <t>Vehículo medio eléctrico</t>
  </si>
  <si>
    <t>Plug-in Hybrid Electric Vehicle</t>
  </si>
  <si>
    <t>kgCO2e/km</t>
  </si>
  <si>
    <t>Battery Electric Vehicle</t>
  </si>
  <si>
    <t>Eléctrico</t>
  </si>
  <si>
    <t>Fuente: MITECO 2023 - 3. Vehículos y maquinaria Opción A.1: Cantidad de combustible consumido</t>
  </si>
  <si>
    <t>5.2. Ferroviario. Transporte de pasajeros</t>
  </si>
  <si>
    <t>Tipo</t>
  </si>
  <si>
    <t>5.3. Autobús urbano</t>
  </si>
  <si>
    <t>Renfe AVE</t>
  </si>
  <si>
    <r>
      <t>kg CO</t>
    </r>
    <r>
      <rPr>
        <vertAlign val="subscript"/>
        <sz val="11"/>
        <rFont val="Calibri"/>
        <family val="2"/>
        <scheme val="minor"/>
      </rPr>
      <t>2</t>
    </r>
    <r>
      <rPr>
        <sz val="11"/>
        <rFont val="Calibri"/>
        <family val="2"/>
        <scheme val="minor"/>
      </rPr>
      <t>eq/pasajero*km</t>
    </r>
  </si>
  <si>
    <t xml:space="preserve">Factor d’emissió </t>
  </si>
  <si>
    <t>g de CO2/passatger x km</t>
  </si>
  <si>
    <t>Cercanías</t>
  </si>
  <si>
    <t>Fuente: Oficina Catalana del Canvi Climàtic. Factors d'emissió 2023</t>
  </si>
  <si>
    <t>Tramvia</t>
  </si>
  <si>
    <t>Metro</t>
  </si>
  <si>
    <t>International rail</t>
  </si>
  <si>
    <t>Fuente: DEFRA conversion factors (2023). Full set "Business travel - land" for International Rail</t>
  </si>
  <si>
    <t>Lista staff</t>
  </si>
  <si>
    <t>Lista proveedores</t>
  </si>
  <si>
    <t>Lista artistas - Traslado propio</t>
  </si>
  <si>
    <t>Furoneta</t>
  </si>
  <si>
    <t>Coche eléctrico</t>
  </si>
  <si>
    <t>Bicicleta</t>
  </si>
  <si>
    <t>Lista conductor-pasajero</t>
  </si>
  <si>
    <t xml:space="preserve">Tamvia </t>
  </si>
  <si>
    <t>5.4. Camiones con carga (diesel)</t>
  </si>
  <si>
    <t>Carga</t>
  </si>
  <si>
    <t>Condenado</t>
  </si>
  <si>
    <r>
      <rPr>
        <sz val="11"/>
        <color rgb="FF000000"/>
        <rFont val="Calibri"/>
        <family val="2"/>
        <scheme val="minor"/>
      </rPr>
      <t>kg CO</t>
    </r>
    <r>
      <rPr>
        <vertAlign val="subscript"/>
        <sz val="11"/>
        <color rgb="FF000000"/>
        <rFont val="Calibri"/>
        <family val="2"/>
        <scheme val="minor"/>
      </rPr>
      <t>2</t>
    </r>
    <r>
      <rPr>
        <sz val="11"/>
        <color rgb="FF000000"/>
        <rFont val="Calibri"/>
        <family val="2"/>
        <scheme val="minor"/>
      </rPr>
      <t>eq/km</t>
    </r>
  </si>
  <si>
    <t>Nota</t>
  </si>
  <si>
    <t>*La energía de renovables se ha considerado en línea con los factores de emision del MITECO</t>
  </si>
  <si>
    <t>5.5. Aviones</t>
  </si>
  <si>
    <t>With RF</t>
  </si>
  <si>
    <t>Without RF</t>
  </si>
  <si>
    <t>Activity</t>
  </si>
  <si>
    <t>Haul</t>
  </si>
  <si>
    <t>Class</t>
  </si>
  <si>
    <t>Unit</t>
  </si>
  <si>
    <r>
      <t>Total kg CO</t>
    </r>
    <r>
      <rPr>
        <vertAlign val="subscript"/>
        <sz val="11"/>
        <color indexed="56"/>
        <rFont val="Calibri"/>
        <family val="2"/>
      </rPr>
      <t>2</t>
    </r>
    <r>
      <rPr>
        <sz val="11"/>
        <color indexed="56"/>
        <rFont val="Calibri"/>
        <family val="2"/>
      </rPr>
      <t>e per unit</t>
    </r>
  </si>
  <si>
    <t>passenger.km</t>
  </si>
  <si>
    <t>Europeos</t>
  </si>
  <si>
    <t>Business class</t>
  </si>
  <si>
    <t>Internacionales fuera de Europa, desde Europa</t>
  </si>
  <si>
    <t>Premium economy class</t>
  </si>
  <si>
    <t>First class</t>
  </si>
  <si>
    <t>Internationales fuera, desde países no Europeos</t>
  </si>
  <si>
    <t>5.6. Barco</t>
  </si>
  <si>
    <t>Type</t>
  </si>
  <si>
    <t>Average (all passenger)</t>
  </si>
  <si>
    <t>6. Estancia de hotel</t>
  </si>
  <si>
    <t>País</t>
  </si>
  <si>
    <r>
      <t>Total kg CO</t>
    </r>
    <r>
      <rPr>
        <b/>
        <vertAlign val="subscript"/>
        <sz val="11"/>
        <color indexed="56"/>
        <rFont val="Calibri"/>
        <family val="2"/>
      </rPr>
      <t>2</t>
    </r>
    <r>
      <rPr>
        <b/>
        <sz val="11"/>
        <color indexed="56"/>
        <rFont val="Calibri"/>
        <family val="2"/>
      </rPr>
      <t>e por unidad</t>
    </r>
  </si>
  <si>
    <t>Alojamiento en hotel</t>
  </si>
  <si>
    <t>Alemania</t>
  </si>
  <si>
    <t>Noche de hotel</t>
  </si>
  <si>
    <t xml:space="preserve">Arabia Saudíta </t>
  </si>
  <si>
    <t>Australia</t>
  </si>
  <si>
    <t>Brasil</t>
  </si>
  <si>
    <t>Cánada</t>
  </si>
  <si>
    <t>Chile</t>
  </si>
  <si>
    <t>China</t>
  </si>
  <si>
    <t>Colombia</t>
  </si>
  <si>
    <t>Costa Rica</t>
  </si>
  <si>
    <t>Egipto</t>
  </si>
  <si>
    <t>Emiratos Árabes Unidos</t>
  </si>
  <si>
    <t>España</t>
  </si>
  <si>
    <t>Estados Unidos</t>
  </si>
  <si>
    <t>Filipinas</t>
  </si>
  <si>
    <t>Francia</t>
  </si>
  <si>
    <t>Holanda</t>
  </si>
  <si>
    <t>Hong Kong, China</t>
  </si>
  <si>
    <t>India</t>
  </si>
  <si>
    <t>Indonesia</t>
  </si>
  <si>
    <t>Italia</t>
  </si>
  <si>
    <t>Japón</t>
  </si>
  <si>
    <t>Jordania</t>
  </si>
  <si>
    <t>Korea</t>
  </si>
  <si>
    <t>Malasia</t>
  </si>
  <si>
    <t>Maldivas</t>
  </si>
  <si>
    <t>Méjico</t>
  </si>
  <si>
    <t>Omán</t>
  </si>
  <si>
    <t>Portugal</t>
  </si>
  <si>
    <t>Qatar</t>
  </si>
  <si>
    <t>Rusia</t>
  </si>
  <si>
    <t>Singapoure</t>
  </si>
  <si>
    <t>Suiza</t>
  </si>
  <si>
    <t>Sur África</t>
  </si>
  <si>
    <t>Thailandia</t>
  </si>
  <si>
    <t>The UK</t>
  </si>
  <si>
    <t>Turquía</t>
  </si>
  <si>
    <t>Vietnam</t>
  </si>
  <si>
    <t>Fuente: DEFRA 2023 - Hotel Stay</t>
  </si>
  <si>
    <t>7. Materiales</t>
  </si>
  <si>
    <t>Materiales de producción nueva</t>
  </si>
  <si>
    <r>
      <t>Total kg CO</t>
    </r>
    <r>
      <rPr>
        <b/>
        <vertAlign val="subscript"/>
        <sz val="11"/>
        <color indexed="56"/>
        <rFont val="Calibri"/>
        <family val="2"/>
      </rPr>
      <t>2</t>
    </r>
    <r>
      <rPr>
        <b/>
        <sz val="11"/>
        <color indexed="56"/>
        <rFont val="Calibri"/>
        <family val="2"/>
      </rPr>
      <t>e per tonne</t>
    </r>
  </si>
  <si>
    <t>Fuente: DEFRA 2023 - Material use</t>
  </si>
  <si>
    <t>8. Generación de residuos</t>
  </si>
  <si>
    <t>Reciclaje</t>
  </si>
  <si>
    <t>Tratamiento</t>
  </si>
  <si>
    <t>Fuente: DEFRA 2023 - Waste disposal</t>
  </si>
  <si>
    <t>Lista runners</t>
  </si>
  <si>
    <t>Calculadora de huella de carbono</t>
  </si>
  <si>
    <t>20</t>
  </si>
  <si>
    <t>Vuelos</t>
  </si>
  <si>
    <t>Ferry</t>
  </si>
  <si>
    <t>Fuente: DEFRA conversion factors (2023). Full set "Business travel- air"</t>
  </si>
  <si>
    <t>Fuente: DEFRA conversion factors (2023). Full set "Business travel- sea"</t>
  </si>
  <si>
    <t>Font: DEFRA conversion factors (2023). Full set "Freighting goods"</t>
  </si>
  <si>
    <t>Fuente: DEFRA. Emission factors 2023 - Business travel - 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</si>
</sst>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 #,##0_-;_-* &quot;-&quot;_-;_-@_-"/>
    <numFmt numFmtId="43" formatCode="_-* #,##0.00_-;\-* #,##0.00_-;_-* &quot;-&quot;??_-;_-@_-"/>
    <numFmt numFmtId="164" formatCode="0.0"/>
    <numFmt numFmtId="165" formatCode="#,##0.0"/>
    <numFmt numFmtId="166" formatCode="#,##0.00\ &quot;€&quot;"/>
    <numFmt numFmtId="167" formatCode="#,##0.000"/>
    <numFmt numFmtId="168" formatCode="??0.0?????"/>
    <numFmt numFmtId="169" formatCode="??0.0????????"/>
    <numFmt numFmtId="170" formatCode="0.000"/>
    <numFmt numFmtId="171" formatCode="_-* #,##0.00\ _€_-;\-* #,##0.00\ _€_-;_-* &quot;-&quot;??\ _€_-;_-@_-"/>
    <numFmt numFmtId="172" formatCode="_(&quot;$&quot;* #,##0.00_);_(&quot;$&quot;* \(#,##0.00\);_(&quot;$&quot;* &quot;-&quot;??_);_(@_)"/>
    <numFmt numFmtId="173" formatCode="_-&quot;$&quot;* #,##0_-;\-&quot;$&quot;* #,##0_-;_-&quot;$&quot;* &quot;-&quot;_-;_-@_-"/>
    <numFmt numFmtId="174" formatCode="_-&quot;$&quot;* #,##0.00_-;\-&quot;$&quot;* #,##0.00_-;_-&quot;$&quot;* &quot;-&quot;??_-;_-@_-"/>
    <numFmt numFmtId="175" formatCode="0.00_)"/>
    <numFmt numFmtId="176" formatCode="[$-F800]dddd\,\ mmmm\ dd\,\ yyyy"/>
    <numFmt numFmtId="177" formatCode="0.00000"/>
    <numFmt numFmtId="178" formatCode="??0.0?"/>
  </numFmts>
  <fonts count="87" x14ac:knownFonts="1">
    <font>
      <sz val="11"/>
      <color theme="1"/>
      <name val="Calibri"/>
      <family val="2"/>
      <scheme val="minor"/>
    </font>
    <font>
      <b/>
      <sz val="11"/>
      <color theme="1"/>
      <name val="Calibri"/>
      <family val="2"/>
      <scheme val="minor"/>
    </font>
    <font>
      <u/>
      <sz val="12"/>
      <color theme="10"/>
      <name val="Calibri"/>
      <family val="2"/>
      <scheme val="minor"/>
    </font>
    <font>
      <b/>
      <sz val="12"/>
      <color theme="1"/>
      <name val="Calibri"/>
      <family val="2"/>
      <scheme val="minor"/>
    </font>
    <font>
      <sz val="10"/>
      <name val="Arial"/>
      <family val="2"/>
    </font>
    <font>
      <sz val="11"/>
      <name val="Calibri"/>
      <family val="2"/>
      <scheme val="minor"/>
    </font>
    <font>
      <sz val="12"/>
      <color theme="1"/>
      <name val="Calibri"/>
      <family val="2"/>
      <scheme val="minor"/>
    </font>
    <font>
      <b/>
      <u/>
      <sz val="11"/>
      <color rgb="FF0000FF"/>
      <name val="Calibri"/>
      <family val="2"/>
      <scheme val="minor"/>
    </font>
    <font>
      <b/>
      <u/>
      <sz val="14"/>
      <color rgb="FF0000FF"/>
      <name val="Calibri"/>
      <family val="2"/>
      <scheme val="minor"/>
    </font>
    <font>
      <sz val="11"/>
      <name val="Arial"/>
      <family val="1"/>
    </font>
    <font>
      <sz val="10"/>
      <name val="Arial"/>
      <family val="2"/>
    </font>
    <font>
      <sz val="11"/>
      <color theme="1"/>
      <name val="Calibri"/>
      <family val="2"/>
      <scheme val="minor"/>
    </font>
    <font>
      <sz val="18"/>
      <color theme="3"/>
      <name val="Cambria"/>
      <family val="2"/>
      <scheme val="major"/>
    </font>
    <font>
      <sz val="11"/>
      <color rgb="FF006100"/>
      <name val="Calibri"/>
      <family val="2"/>
      <scheme val="minor"/>
    </font>
    <font>
      <sz val="11"/>
      <color rgb="FF9C0006"/>
      <name val="Calibri"/>
      <family val="2"/>
      <scheme val="minor"/>
    </font>
    <font>
      <sz val="11"/>
      <color rgb="FF9C5700"/>
      <name val="Calibri"/>
      <family val="2"/>
      <scheme val="minor"/>
    </font>
    <font>
      <b/>
      <sz val="11"/>
      <color theme="0"/>
      <name val="Calibri"/>
      <family val="2"/>
      <scheme val="minor"/>
    </font>
    <font>
      <sz val="11"/>
      <color theme="0"/>
      <name val="Calibri"/>
      <family val="2"/>
      <scheme val="minor"/>
    </font>
    <font>
      <sz val="10"/>
      <color theme="1"/>
      <name val="Arial"/>
      <family val="2"/>
    </font>
    <font>
      <u/>
      <sz val="11"/>
      <color indexed="12"/>
      <name val="Calibri"/>
      <family val="2"/>
    </font>
    <font>
      <sz val="10"/>
      <color theme="9" tint="-0.499984740745262"/>
      <name val="Arial"/>
      <family val="2"/>
    </font>
    <font>
      <i/>
      <sz val="10"/>
      <color rgb="FFFF0000"/>
      <name val="Arial"/>
      <family val="2"/>
    </font>
    <font>
      <u/>
      <sz val="10"/>
      <color theme="11"/>
      <name val="Arial"/>
      <family val="2"/>
    </font>
    <font>
      <sz val="11"/>
      <color theme="1"/>
      <name val="Arial"/>
      <family val="2"/>
    </font>
    <font>
      <b/>
      <sz val="10"/>
      <color theme="0"/>
      <name val="Arial"/>
      <family val="2"/>
    </font>
    <font>
      <b/>
      <sz val="9"/>
      <color theme="1"/>
      <name val="Calibri"/>
      <family val="2"/>
      <scheme val="minor"/>
    </font>
    <font>
      <sz val="10"/>
      <color theme="1"/>
      <name val="Calibri"/>
      <family val="2"/>
      <scheme val="minor"/>
    </font>
    <font>
      <b/>
      <sz val="22"/>
      <color theme="1"/>
      <name val="Calibri"/>
      <family val="2"/>
      <scheme val="minor"/>
    </font>
    <font>
      <b/>
      <sz val="10"/>
      <color theme="1"/>
      <name val="Calibri"/>
      <family val="2"/>
      <scheme val="minor"/>
    </font>
    <font>
      <sz val="11"/>
      <color rgb="FF002060"/>
      <name val="Calibri"/>
      <family val="2"/>
      <scheme val="minor"/>
    </font>
    <font>
      <sz val="9"/>
      <color theme="1"/>
      <name val="Calibri"/>
      <family val="2"/>
      <scheme val="minor"/>
    </font>
    <font>
      <sz val="10"/>
      <color rgb="FF0000FF"/>
      <name val="Calibri"/>
      <family val="2"/>
      <scheme val="minor"/>
    </font>
    <font>
      <b/>
      <sz val="9"/>
      <color theme="1"/>
      <name val="Arial Black"/>
      <family val="2"/>
    </font>
    <font>
      <b/>
      <sz val="11"/>
      <color rgb="FF000000"/>
      <name val="Calibri"/>
      <family val="2"/>
      <scheme val="minor"/>
    </font>
    <font>
      <b/>
      <sz val="20"/>
      <color rgb="FF000000"/>
      <name val="Calibri"/>
      <family val="2"/>
      <scheme val="minor"/>
    </font>
    <font>
      <b/>
      <sz val="14"/>
      <color theme="1"/>
      <name val="Calibri"/>
      <family val="2"/>
      <scheme val="minor"/>
    </font>
    <font>
      <b/>
      <sz val="16"/>
      <color theme="0"/>
      <name val="Calibri"/>
      <family val="2"/>
      <scheme val="minor"/>
    </font>
    <font>
      <b/>
      <sz val="28"/>
      <color rgb="FFFF5B5C"/>
      <name val="Calibri"/>
      <family val="2"/>
      <scheme val="minor"/>
    </font>
    <font>
      <sz val="11"/>
      <color indexed="81"/>
      <name val="Calibri"/>
      <family val="2"/>
      <scheme val="minor"/>
    </font>
    <font>
      <sz val="10"/>
      <name val="Calibri"/>
      <family val="2"/>
      <scheme val="minor"/>
    </font>
    <font>
      <i/>
      <sz val="10"/>
      <name val="Calibri"/>
      <family val="2"/>
      <scheme val="minor"/>
    </font>
    <font>
      <b/>
      <u/>
      <sz val="11"/>
      <color rgb="FFFF5B5C"/>
      <name val="Calibri"/>
      <family val="2"/>
      <scheme val="minor"/>
    </font>
    <font>
      <vertAlign val="subscript"/>
      <sz val="11"/>
      <color indexed="56"/>
      <name val="Calibri"/>
      <family val="2"/>
    </font>
    <font>
      <sz val="11"/>
      <color indexed="56"/>
      <name val="Calibri"/>
      <family val="2"/>
    </font>
    <font>
      <b/>
      <sz val="8"/>
      <name val="Tahoma"/>
      <family val="2"/>
    </font>
    <font>
      <sz val="10"/>
      <color rgb="FF000000"/>
      <name val="Arial Narrow"/>
      <family val="2"/>
    </font>
    <font>
      <vertAlign val="subscript"/>
      <sz val="10"/>
      <name val="Calibri"/>
      <family val="2"/>
      <scheme val="minor"/>
    </font>
    <font>
      <b/>
      <sz val="16"/>
      <color rgb="FF000000"/>
      <name val="Calibri"/>
      <family val="2"/>
      <scheme val="minor"/>
    </font>
    <font>
      <sz val="11"/>
      <color rgb="FF000000"/>
      <name val="Calibri"/>
      <family val="2"/>
      <scheme val="minor"/>
    </font>
    <font>
      <b/>
      <vertAlign val="subscript"/>
      <sz val="11"/>
      <color indexed="56"/>
      <name val="Calibri"/>
      <family val="2"/>
    </font>
    <font>
      <b/>
      <sz val="11"/>
      <color indexed="56"/>
      <name val="Calibri"/>
      <family val="2"/>
    </font>
    <font>
      <sz val="10"/>
      <name val="Arial Narrow"/>
      <family val="2"/>
    </font>
    <font>
      <sz val="10"/>
      <color theme="1"/>
      <name val="Arial Narrow"/>
      <family val="2"/>
    </font>
    <font>
      <b/>
      <sz val="9"/>
      <color indexed="81"/>
      <name val="Tahoma"/>
      <family val="2"/>
    </font>
    <font>
      <sz val="8"/>
      <name val="Calibri"/>
      <family val="2"/>
      <scheme val="minor"/>
    </font>
    <font>
      <b/>
      <u/>
      <sz val="11"/>
      <color rgb="FF6CEE85"/>
      <name val="Calibri"/>
      <family val="2"/>
      <scheme val="minor"/>
    </font>
    <font>
      <b/>
      <u/>
      <sz val="12"/>
      <color theme="3" tint="0.59999389629810485"/>
      <name val="Calibri"/>
      <family val="2"/>
      <scheme val="minor"/>
    </font>
    <font>
      <sz val="11"/>
      <color indexed="8"/>
      <name val="Calibri"/>
      <family val="2"/>
    </font>
    <font>
      <sz val="6"/>
      <color indexed="8"/>
      <name val="Arial Narrow"/>
      <family val="2"/>
    </font>
    <font>
      <sz val="11"/>
      <color indexed="62"/>
      <name val="Calibri"/>
      <family val="2"/>
    </font>
    <font>
      <sz val="10"/>
      <name val="Verdana"/>
      <family val="2"/>
    </font>
    <font>
      <sz val="10"/>
      <color indexed="8"/>
      <name val="Arial"/>
      <family val="2"/>
    </font>
    <font>
      <u/>
      <sz val="11"/>
      <color theme="10"/>
      <name val="Calibri"/>
      <family val="2"/>
      <scheme val="minor"/>
    </font>
    <font>
      <sz val="9"/>
      <name val="Calibri"/>
      <family val="2"/>
      <scheme val="minor"/>
    </font>
    <font>
      <b/>
      <sz val="36"/>
      <color rgb="FFC5D9F1"/>
      <name val="Calibri"/>
      <family val="2"/>
      <scheme val="minor"/>
    </font>
    <font>
      <b/>
      <sz val="11"/>
      <name val="Calibri"/>
      <family val="2"/>
      <scheme val="minor"/>
    </font>
    <font>
      <sz val="10"/>
      <name val="Arial"/>
      <family val="2"/>
    </font>
    <font>
      <u/>
      <sz val="10"/>
      <color indexed="12"/>
      <name val="Arial"/>
      <family val="2"/>
    </font>
    <font>
      <sz val="1"/>
      <name val="Arial"/>
      <family val="2"/>
    </font>
    <font>
      <sz val="8"/>
      <name val="Helv"/>
    </font>
    <font>
      <b/>
      <sz val="14"/>
      <name val="Helv"/>
    </font>
    <font>
      <b/>
      <sz val="12"/>
      <name val="Helv"/>
    </font>
    <font>
      <sz val="8"/>
      <name val="Arial"/>
      <family val="2"/>
    </font>
    <font>
      <b/>
      <i/>
      <sz val="16"/>
      <name val="Helv"/>
    </font>
    <font>
      <vertAlign val="subscript"/>
      <sz val="11"/>
      <name val="Calibri"/>
      <family val="2"/>
      <scheme val="minor"/>
    </font>
    <font>
      <b/>
      <sz val="10"/>
      <color rgb="FF000000"/>
      <name val="Calibri"/>
      <family val="2"/>
      <scheme val="minor"/>
    </font>
    <font>
      <vertAlign val="subscript"/>
      <sz val="11"/>
      <color rgb="FF000000"/>
      <name val="Calibri"/>
      <family val="2"/>
      <scheme val="minor"/>
    </font>
    <font>
      <b/>
      <sz val="9"/>
      <color rgb="FF000000"/>
      <name val="Calibri"/>
      <family val="2"/>
      <scheme val="minor"/>
    </font>
    <font>
      <u/>
      <sz val="12"/>
      <color rgb="FFC5D9F1"/>
      <name val="Calibri"/>
      <family val="2"/>
      <scheme val="minor"/>
    </font>
    <font>
      <sz val="11"/>
      <name val="Calibri Light"/>
      <family val="2"/>
    </font>
    <font>
      <b/>
      <sz val="11"/>
      <name val="Calibri Light"/>
      <family val="2"/>
    </font>
    <font>
      <b/>
      <sz val="16"/>
      <color rgb="FF276EC3"/>
      <name val="Calibri"/>
      <family val="2"/>
      <scheme val="minor"/>
    </font>
    <font>
      <u/>
      <sz val="12"/>
      <color rgb="FF276EC3"/>
      <name val="Calibri"/>
      <family val="2"/>
      <scheme val="minor"/>
    </font>
    <font>
      <sz val="11"/>
      <color rgb="FF276EC3"/>
      <name val="Calibri"/>
      <family val="2"/>
      <scheme val="minor"/>
    </font>
    <font>
      <b/>
      <u/>
      <sz val="11"/>
      <color rgb="FF276EC3"/>
      <name val="Calibri"/>
      <family val="2"/>
      <scheme val="minor"/>
    </font>
    <font>
      <sz val="28"/>
      <color theme="1"/>
      <name val="Neue Haas Grotesk Text Pro"/>
      <family val="2"/>
    </font>
    <font>
      <sz val="18"/>
      <name val="Neue Haas Grotesk Text Pro"/>
      <family val="2"/>
    </font>
  </fonts>
  <fills count="4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rgb="FFFFFF99"/>
        <bgColor indexed="64"/>
      </patternFill>
    </fill>
    <fill>
      <patternFill patternType="solid">
        <fgColor rgb="FFCC99FF"/>
        <bgColor indexed="64"/>
      </patternFill>
    </fill>
    <fill>
      <patternFill patternType="solid">
        <fgColor theme="7" tint="0.39997558519241921"/>
        <bgColor rgb="FF000000"/>
      </patternFill>
    </fill>
    <fill>
      <patternFill patternType="solid">
        <fgColor rgb="FFFFFF99"/>
        <bgColor rgb="FF000000"/>
      </patternFill>
    </fill>
    <fill>
      <patternFill patternType="solid">
        <fgColor rgb="FF002060"/>
        <bgColor indexed="64"/>
      </patternFill>
    </fill>
    <fill>
      <patternFill patternType="solid">
        <fgColor theme="4" tint="0.79998168889431442"/>
        <bgColor rgb="FF000000"/>
      </patternFill>
    </fill>
    <fill>
      <patternFill patternType="solid">
        <fgColor rgb="FFFF0000"/>
        <bgColor indexed="64"/>
      </patternFill>
    </fill>
    <fill>
      <patternFill patternType="solid">
        <fgColor theme="0"/>
        <bgColor indexed="64"/>
      </patternFill>
    </fill>
    <fill>
      <patternFill patternType="solid">
        <fgColor rgb="FFEDEDED"/>
        <bgColor indexed="64"/>
      </patternFill>
    </fill>
    <fill>
      <patternFill patternType="solid">
        <fgColor indexed="47"/>
      </patternFill>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rgb="FF276EC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FBFBF"/>
      </left>
      <right style="thin">
        <color rgb="FFBFBFBF"/>
      </right>
      <top style="thin">
        <color rgb="FFBFBFBF"/>
      </top>
      <bottom style="thin">
        <color rgb="FFBFBFB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indexed="23"/>
      </left>
      <right/>
      <top style="thin">
        <color indexed="23"/>
      </top>
      <bottom style="thin">
        <color indexed="23"/>
      </bottom>
      <diagonal/>
    </border>
    <border>
      <left style="thin">
        <color indexed="64"/>
      </left>
      <right style="thin">
        <color indexed="64"/>
      </right>
      <top style="thin">
        <color indexed="64"/>
      </top>
      <bottom style="thin">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53D5F"/>
      </left>
      <right style="thin">
        <color rgb="FF053D5F"/>
      </right>
      <top style="thin">
        <color rgb="FF053D5F"/>
      </top>
      <bottom style="thin">
        <color rgb="FF053D5F"/>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medium">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diagonal/>
    </border>
    <border>
      <left style="medium">
        <color theme="0" tint="-0.14999847407452621"/>
      </left>
      <right style="medium">
        <color theme="0" tint="-0.14999847407452621"/>
      </right>
      <top/>
      <bottom style="thin">
        <color theme="0" tint="-0.14999847407452621"/>
      </bottom>
      <diagonal/>
    </border>
    <border>
      <left style="thin">
        <color rgb="FF053D5F"/>
      </left>
      <right style="thin">
        <color rgb="FF053D5F"/>
      </right>
      <top style="thin">
        <color rgb="FF053D5F"/>
      </top>
      <bottom/>
      <diagonal/>
    </border>
    <border>
      <left/>
      <right/>
      <top style="thin">
        <color theme="0" tint="-0.14999847407452621"/>
      </top>
      <bottom style="thin">
        <color theme="0" tint="-0.14999847407452621"/>
      </bottom>
      <diagonal/>
    </border>
    <border>
      <left style="thin">
        <color rgb="FF053D5F"/>
      </left>
      <right style="thin">
        <color rgb="FF053D5F"/>
      </right>
      <top/>
      <bottom/>
      <diagonal/>
    </border>
    <border>
      <left style="thin">
        <color rgb="FF053D5F"/>
      </left>
      <right style="thin">
        <color rgb="FF053D5F"/>
      </right>
      <top style="thin">
        <color indexed="64"/>
      </top>
      <bottom/>
      <diagonal/>
    </border>
    <border>
      <left style="thin">
        <color rgb="FF808080"/>
      </left>
      <right style="thin">
        <color rgb="FF808080"/>
      </right>
      <top style="thin">
        <color rgb="FF808080"/>
      </top>
      <bottom style="thin">
        <color rgb="FF808080"/>
      </bottom>
      <diagonal/>
    </border>
    <border>
      <left style="thin">
        <color theme="0" tint="-0.249977111117893"/>
      </left>
      <right style="thin">
        <color theme="0" tint="-0.249977111117893"/>
      </right>
      <top style="thin">
        <color theme="0" tint="-0.249977111117893"/>
      </top>
      <bottom/>
      <diagonal/>
    </border>
    <border>
      <left style="thin">
        <color indexed="23"/>
      </left>
      <right style="thin">
        <color indexed="23"/>
      </right>
      <top style="thin">
        <color indexed="23"/>
      </top>
      <bottom style="thin">
        <color indexed="23"/>
      </bottom>
      <diagonal/>
    </border>
    <border>
      <left style="thin">
        <color indexed="23"/>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theme="0" tint="-0.249977111117893"/>
      </left>
      <right/>
      <top/>
      <bottom/>
      <diagonal/>
    </border>
    <border>
      <left/>
      <right style="thin">
        <color theme="0" tint="-0.249977111117893"/>
      </right>
      <top style="thin">
        <color theme="0" tint="-0.249977111117893"/>
      </top>
      <bottom/>
      <diagonal/>
    </border>
    <border>
      <left style="thin">
        <color rgb="FF000000"/>
      </left>
      <right/>
      <top style="thin">
        <color rgb="FF000000"/>
      </top>
      <bottom style="thin">
        <color rgb="FF000000"/>
      </bottom>
      <diagonal/>
    </border>
    <border>
      <left/>
      <right style="thin">
        <color theme="0" tint="-0.249977111117893"/>
      </right>
      <top/>
      <bottom style="thin">
        <color theme="0" tint="-0.249977111117893"/>
      </bottom>
      <diagonal/>
    </border>
    <border>
      <left/>
      <right style="thin">
        <color rgb="FF053D5F"/>
      </right>
      <top style="thin">
        <color rgb="FF053D5F"/>
      </top>
      <bottom style="thin">
        <color rgb="FF053D5F"/>
      </bottom>
      <diagonal/>
    </border>
    <border>
      <left style="thin">
        <color rgb="FF053D5F"/>
      </left>
      <right style="thin">
        <color rgb="FF053D5F"/>
      </right>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theme="0" tint="-0.249977111117893"/>
      </left>
      <right/>
      <top/>
      <bottom style="thin">
        <color theme="0" tint="-0.249977111117893"/>
      </bottom>
      <diagonal/>
    </border>
    <border>
      <left style="thin">
        <color indexed="64"/>
      </left>
      <right style="thin">
        <color rgb="FF053D5F"/>
      </right>
      <top style="thin">
        <color rgb="FF053D5F"/>
      </top>
      <bottom style="thin">
        <color rgb="FF053D5F"/>
      </bottom>
      <diagonal/>
    </border>
  </borders>
  <cellStyleXfs count="92">
    <xf numFmtId="0" fontId="0" fillId="0" borderId="0"/>
    <xf numFmtId="0" fontId="2" fillId="0" borderId="0" applyNumberFormat="0" applyFill="0" applyBorder="0" applyAlignment="0" applyProtection="0"/>
    <xf numFmtId="0" fontId="4" fillId="0" borderId="0"/>
    <xf numFmtId="0" fontId="9" fillId="0" borderId="0"/>
    <xf numFmtId="0" fontId="10" fillId="0" borderId="0"/>
    <xf numFmtId="9" fontId="10" fillId="0" borderId="0" applyFont="0" applyFill="0" applyBorder="0" applyAlignment="0" applyProtection="0"/>
    <xf numFmtId="0" fontId="4" fillId="0" borderId="0"/>
    <xf numFmtId="0" fontId="12" fillId="0" borderId="0" applyNumberFormat="0" applyFill="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0" applyNumberFormat="0" applyBorder="0" applyAlignment="0" applyProtection="0"/>
    <xf numFmtId="0" fontId="16" fillId="7" borderId="4" applyNumberFormat="0" applyAlignment="0" applyProtection="0"/>
    <xf numFmtId="0" fontId="17"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7"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7"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7"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7"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7"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8" fillId="0" borderId="0"/>
    <xf numFmtId="0" fontId="4" fillId="35" borderId="6" applyNumberFormat="0" applyAlignment="0" applyProtection="0"/>
    <xf numFmtId="0" fontId="20" fillId="36" borderId="7" applyNumberFormat="0" applyProtection="0">
      <alignment vertical="center"/>
    </xf>
    <xf numFmtId="43" fontId="18" fillId="0" borderId="0" applyFont="0" applyFill="0" applyBorder="0" applyAlignment="0" applyProtection="0"/>
    <xf numFmtId="43" fontId="18"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19" fillId="0" borderId="0" applyNumberFormat="0" applyFill="0" applyBorder="0" applyAlignment="0" applyProtection="0">
      <alignment vertical="top"/>
      <protection locked="0"/>
    </xf>
    <xf numFmtId="0" fontId="4" fillId="34" borderId="3" applyNumberFormat="0" applyBorder="0" applyAlignment="0" applyProtection="0"/>
    <xf numFmtId="0" fontId="4" fillId="37" borderId="0">
      <alignment vertical="center"/>
    </xf>
    <xf numFmtId="0" fontId="4" fillId="33" borderId="2" applyNumberFormat="0" applyAlignment="0" applyProtection="0"/>
    <xf numFmtId="0" fontId="23" fillId="0" borderId="0"/>
    <xf numFmtId="0" fontId="18" fillId="8" borderId="5" applyNumberFormat="0" applyFont="0" applyAlignment="0" applyProtection="0"/>
    <xf numFmtId="0" fontId="24" fillId="38" borderId="8" applyNumberFormat="0" applyAlignment="0" applyProtection="0"/>
    <xf numFmtId="9" fontId="23" fillId="0" borderId="0" applyFont="0" applyFill="0" applyBorder="0" applyAlignment="0" applyProtection="0"/>
    <xf numFmtId="0" fontId="4" fillId="39" borderId="9" applyNumberFormat="0" applyProtection="0">
      <alignment vertical="center"/>
    </xf>
    <xf numFmtId="0" fontId="24" fillId="40" borderId="0" applyNumberFormat="0" applyBorder="0" applyAlignment="0" applyProtection="0"/>
    <xf numFmtId="0" fontId="4" fillId="0" borderId="0"/>
    <xf numFmtId="0" fontId="59" fillId="43" borderId="41" applyNumberFormat="0" applyAlignment="0" applyProtection="0"/>
    <xf numFmtId="171" fontId="57" fillId="0" borderId="0" applyFont="0" applyFill="0" applyBorder="0" applyAlignment="0" applyProtection="0"/>
    <xf numFmtId="171" fontId="57" fillId="0" borderId="0" applyFont="0" applyFill="0" applyBorder="0" applyAlignment="0" applyProtection="0"/>
    <xf numFmtId="171" fontId="57" fillId="0" borderId="0" applyFont="0" applyFill="0" applyBorder="0" applyAlignment="0" applyProtection="0"/>
    <xf numFmtId="171" fontId="57" fillId="0" borderId="0" applyFont="0" applyFill="0" applyBorder="0" applyAlignment="0" applyProtection="0"/>
    <xf numFmtId="0" fontId="61" fillId="0" borderId="0"/>
    <xf numFmtId="0" fontId="4" fillId="0" borderId="0"/>
    <xf numFmtId="0" fontId="61" fillId="0" borderId="0"/>
    <xf numFmtId="0" fontId="60" fillId="0" borderId="0"/>
    <xf numFmtId="0" fontId="62" fillId="0" borderId="0" applyNumberFormat="0" applyFill="0" applyBorder="0" applyAlignment="0" applyProtection="0"/>
    <xf numFmtId="0" fontId="66" fillId="0" borderId="0"/>
    <xf numFmtId="38" fontId="72" fillId="45" borderId="0" applyNumberFormat="0" applyBorder="0" applyAlignment="0" applyProtection="0"/>
    <xf numFmtId="0" fontId="67" fillId="0" borderId="0" applyNumberFormat="0" applyFill="0" applyBorder="0" applyAlignment="0" applyProtection="0">
      <alignment vertical="top"/>
      <protection locked="0"/>
    </xf>
    <xf numFmtId="10" fontId="72" fillId="46" borderId="1" applyNumberFormat="0" applyBorder="0" applyAlignment="0" applyProtection="0"/>
    <xf numFmtId="43" fontId="4" fillId="0" borderId="0" applyFont="0" applyFill="0" applyBorder="0" applyAlignment="0" applyProtection="0"/>
    <xf numFmtId="41"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172" fontId="68" fillId="0" borderId="0" applyFont="0" applyFill="0" applyBorder="0" applyAlignment="0" applyProtection="0"/>
    <xf numFmtId="175" fontId="73" fillId="0" borderId="0"/>
    <xf numFmtId="10" fontId="4" fillId="0" borderId="0" applyFont="0" applyFill="0" applyBorder="0" applyAlignment="0" applyProtection="0"/>
    <xf numFmtId="9" fontId="4" fillId="0" borderId="0" applyFont="0" applyFill="0" applyBorder="0" applyAlignment="0" applyProtection="0"/>
    <xf numFmtId="0" fontId="69" fillId="0" borderId="0">
      <alignment horizontal="right"/>
    </xf>
    <xf numFmtId="0" fontId="69" fillId="0" borderId="0">
      <alignment horizontal="left"/>
    </xf>
    <xf numFmtId="0" fontId="70" fillId="0" borderId="0">
      <alignment horizontal="left" vertical="top"/>
    </xf>
    <xf numFmtId="0" fontId="71" fillId="0" borderId="0">
      <alignment horizontal="left"/>
    </xf>
    <xf numFmtId="41" fontId="4" fillId="0" borderId="0" applyFont="0" applyFill="0" applyBorder="0" applyAlignment="0" applyProtection="0"/>
    <xf numFmtId="43" fontId="4" fillId="0" borderId="0" applyFont="0" applyFill="0" applyBorder="0" applyAlignment="0" applyProtection="0"/>
    <xf numFmtId="173" fontId="4" fillId="0" borderId="0" applyFont="0" applyFill="0" applyBorder="0" applyAlignment="0" applyProtection="0"/>
    <xf numFmtId="174" fontId="4" fillId="0" borderId="0" applyFont="0" applyFill="0" applyBorder="0" applyAlignment="0" applyProtection="0"/>
    <xf numFmtId="0" fontId="4" fillId="0" borderId="0">
      <alignment vertical="top"/>
    </xf>
    <xf numFmtId="0" fontId="4" fillId="8" borderId="5" applyNumberFormat="0" applyFont="0" applyAlignment="0" applyProtection="0"/>
    <xf numFmtId="0" fontId="66" fillId="0" borderId="0"/>
    <xf numFmtId="0" fontId="67" fillId="0" borderId="0" applyNumberFormat="0" applyFill="0" applyBorder="0" applyAlignment="0" applyProtection="0">
      <alignment vertical="top"/>
      <protection locked="0"/>
    </xf>
    <xf numFmtId="176" fontId="11" fillId="0" borderId="0"/>
    <xf numFmtId="0" fontId="66" fillId="0" borderId="0"/>
    <xf numFmtId="0" fontId="4" fillId="0" borderId="0"/>
    <xf numFmtId="0" fontId="66" fillId="0" borderId="0"/>
  </cellStyleXfs>
  <cellXfs count="275">
    <xf numFmtId="0" fontId="0" fillId="0" borderId="0" xfId="0"/>
    <xf numFmtId="0" fontId="0" fillId="41" borderId="0" xfId="0" applyFill="1"/>
    <xf numFmtId="0" fontId="1" fillId="41" borderId="0" xfId="0" applyFont="1" applyFill="1" applyAlignment="1">
      <alignment horizontal="center" vertical="center"/>
    </xf>
    <xf numFmtId="2" fontId="0" fillId="41" borderId="0" xfId="0" applyNumberFormat="1" applyFill="1"/>
    <xf numFmtId="0" fontId="1" fillId="41" borderId="0" xfId="0" applyFont="1" applyFill="1"/>
    <xf numFmtId="0" fontId="0" fillId="41" borderId="0" xfId="0" applyFill="1" applyAlignment="1">
      <alignment horizontal="center" vertical="center"/>
    </xf>
    <xf numFmtId="0" fontId="0" fillId="41" borderId="0" xfId="0" applyFill="1" applyAlignment="1">
      <alignment horizontal="left"/>
    </xf>
    <xf numFmtId="0" fontId="7" fillId="41" borderId="0" xfId="0" applyFont="1" applyFill="1" applyAlignment="1">
      <alignment horizontal="left" vertical="center"/>
    </xf>
    <xf numFmtId="0" fontId="0" fillId="41" borderId="0" xfId="0" applyFill="1" applyAlignment="1">
      <alignment horizontal="left" vertical="center"/>
    </xf>
    <xf numFmtId="0" fontId="32" fillId="41" borderId="0" xfId="0" applyFont="1" applyFill="1" applyAlignment="1">
      <alignment vertical="center"/>
    </xf>
    <xf numFmtId="0" fontId="34" fillId="41" borderId="0" xfId="0" applyFont="1" applyFill="1" applyAlignment="1">
      <alignment horizontal="left" vertical="center"/>
    </xf>
    <xf numFmtId="0" fontId="0" fillId="41" borderId="0" xfId="0" applyFill="1" applyAlignment="1">
      <alignment horizontal="center"/>
    </xf>
    <xf numFmtId="0" fontId="1" fillId="41" borderId="0" xfId="0" applyFont="1" applyFill="1" applyAlignment="1">
      <alignment horizontal="center" vertical="top" wrapText="1"/>
    </xf>
    <xf numFmtId="0" fontId="8" fillId="41" borderId="0" xfId="0" applyFont="1" applyFill="1"/>
    <xf numFmtId="0" fontId="0" fillId="41" borderId="0" xfId="0" applyFill="1" applyAlignment="1">
      <alignment vertical="top"/>
    </xf>
    <xf numFmtId="165" fontId="0" fillId="41" borderId="0" xfId="0" applyNumberFormat="1" applyFill="1" applyAlignment="1">
      <alignment horizontal="center"/>
    </xf>
    <xf numFmtId="49" fontId="0" fillId="41" borderId="0" xfId="0" applyNumberFormat="1" applyFill="1" applyAlignment="1">
      <alignment horizontal="center"/>
    </xf>
    <xf numFmtId="165" fontId="0" fillId="41" borderId="0" xfId="0" quotePrefix="1" applyNumberFormat="1" applyFill="1" applyAlignment="1">
      <alignment horizontal="center"/>
    </xf>
    <xf numFmtId="49" fontId="0" fillId="41" borderId="0" xfId="0" applyNumberFormat="1" applyFill="1"/>
    <xf numFmtId="0" fontId="28" fillId="41" borderId="0" xfId="0" applyFont="1" applyFill="1"/>
    <xf numFmtId="0" fontId="17" fillId="41" borderId="0" xfId="0" applyFont="1" applyFill="1"/>
    <xf numFmtId="165" fontId="0" fillId="41" borderId="20" xfId="0" applyNumberFormat="1" applyFill="1" applyBorder="1" applyAlignment="1">
      <alignment horizontal="center" vertical="center"/>
    </xf>
    <xf numFmtId="49" fontId="0" fillId="41" borderId="20" xfId="0" applyNumberFormat="1" applyFill="1" applyBorder="1" applyAlignment="1">
      <alignment horizontal="center" vertical="center"/>
    </xf>
    <xf numFmtId="0" fontId="0" fillId="41" borderId="20" xfId="0" applyFill="1" applyBorder="1" applyAlignment="1">
      <alignment horizontal="center"/>
    </xf>
    <xf numFmtId="0" fontId="0" fillId="41" borderId="20" xfId="0" applyFill="1" applyBorder="1" applyAlignment="1">
      <alignment horizontal="center" vertical="top" wrapText="1"/>
    </xf>
    <xf numFmtId="0" fontId="0" fillId="41" borderId="20" xfId="0" applyFill="1" applyBorder="1"/>
    <xf numFmtId="0" fontId="0" fillId="41" borderId="20" xfId="0" applyFill="1" applyBorder="1" applyAlignment="1">
      <alignment horizontal="center" vertical="center"/>
    </xf>
    <xf numFmtId="0" fontId="39" fillId="41" borderId="0" xfId="0" applyFont="1" applyFill="1"/>
    <xf numFmtId="0" fontId="40" fillId="41" borderId="0" xfId="0" applyFont="1" applyFill="1"/>
    <xf numFmtId="0" fontId="1" fillId="42" borderId="20" xfId="0" applyFont="1" applyFill="1" applyBorder="1" applyAlignment="1">
      <alignment horizontal="center" vertical="center" wrapText="1"/>
    </xf>
    <xf numFmtId="0" fontId="7" fillId="41" borderId="0" xfId="0" applyFont="1" applyFill="1"/>
    <xf numFmtId="0" fontId="0" fillId="41" borderId="1" xfId="0" applyFill="1" applyBorder="1"/>
    <xf numFmtId="0" fontId="5" fillId="41" borderId="10" xfId="0" applyFont="1" applyFill="1" applyBorder="1"/>
    <xf numFmtId="167" fontId="5" fillId="41" borderId="11" xfId="0" applyNumberFormat="1" applyFont="1" applyFill="1" applyBorder="1" applyAlignment="1">
      <alignment horizontal="center"/>
    </xf>
    <xf numFmtId="167" fontId="5" fillId="41" borderId="1" xfId="0" applyNumberFormat="1" applyFont="1" applyFill="1" applyBorder="1" applyAlignment="1">
      <alignment horizontal="center"/>
    </xf>
    <xf numFmtId="0" fontId="0" fillId="41" borderId="19" xfId="0" applyFill="1" applyBorder="1"/>
    <xf numFmtId="0" fontId="0" fillId="41" borderId="0" xfId="0" applyFill="1" applyAlignment="1">
      <alignment vertical="center"/>
    </xf>
    <xf numFmtId="0" fontId="1" fillId="42" borderId="1" xfId="0" applyFont="1" applyFill="1" applyBorder="1" applyAlignment="1">
      <alignment horizontal="center" vertical="center"/>
    </xf>
    <xf numFmtId="0" fontId="41" fillId="41" borderId="0" xfId="0" applyFont="1" applyFill="1"/>
    <xf numFmtId="0" fontId="1" fillId="42" borderId="1" xfId="0" applyFont="1" applyFill="1" applyBorder="1" applyAlignment="1">
      <alignment horizontal="center" vertical="center" wrapText="1"/>
    </xf>
    <xf numFmtId="0" fontId="1" fillId="42" borderId="1" xfId="0" applyFont="1" applyFill="1" applyBorder="1"/>
    <xf numFmtId="0" fontId="1" fillId="42" borderId="13" xfId="0" applyFont="1" applyFill="1" applyBorder="1" applyAlignment="1">
      <alignment horizontal="center" vertical="center"/>
    </xf>
    <xf numFmtId="0" fontId="1" fillId="42" borderId="14" xfId="0" applyFont="1" applyFill="1" applyBorder="1" applyAlignment="1">
      <alignment horizontal="center" vertical="center"/>
    </xf>
    <xf numFmtId="0" fontId="1" fillId="42" borderId="12" xfId="0" applyFont="1" applyFill="1" applyBorder="1" applyAlignment="1">
      <alignment horizontal="left"/>
    </xf>
    <xf numFmtId="0" fontId="1" fillId="42" borderId="13" xfId="0" applyFont="1" applyFill="1" applyBorder="1" applyAlignment="1">
      <alignment horizontal="center"/>
    </xf>
    <xf numFmtId="0" fontId="1" fillId="42" borderId="14" xfId="0" applyFont="1" applyFill="1" applyBorder="1" applyAlignment="1">
      <alignment horizontal="center"/>
    </xf>
    <xf numFmtId="0" fontId="1" fillId="42" borderId="1" xfId="0" applyFont="1" applyFill="1" applyBorder="1" applyAlignment="1">
      <alignment horizontal="center"/>
    </xf>
    <xf numFmtId="0" fontId="1" fillId="42" borderId="12" xfId="0" applyFont="1" applyFill="1" applyBorder="1" applyAlignment="1">
      <alignment horizontal="left" vertical="center"/>
    </xf>
    <xf numFmtId="0" fontId="0" fillId="3" borderId="1" xfId="0" applyFill="1" applyBorder="1"/>
    <xf numFmtId="0" fontId="0" fillId="41" borderId="29" xfId="0" applyFill="1" applyBorder="1"/>
    <xf numFmtId="0" fontId="0" fillId="41" borderId="22" xfId="0" applyFill="1" applyBorder="1" applyAlignment="1">
      <alignment horizontal="center"/>
    </xf>
    <xf numFmtId="0" fontId="0" fillId="41" borderId="22" xfId="0" applyFill="1" applyBorder="1"/>
    <xf numFmtId="0" fontId="0" fillId="41" borderId="32" xfId="0" applyFill="1" applyBorder="1"/>
    <xf numFmtId="0" fontId="0" fillId="41" borderId="34" xfId="0" applyFill="1" applyBorder="1"/>
    <xf numFmtId="0" fontId="0" fillId="41" borderId="23" xfId="0" applyFill="1" applyBorder="1" applyAlignment="1">
      <alignment horizontal="center"/>
    </xf>
    <xf numFmtId="0" fontId="0" fillId="41" borderId="29" xfId="0" applyFill="1" applyBorder="1" applyAlignment="1">
      <alignment horizontal="center"/>
    </xf>
    <xf numFmtId="0" fontId="0" fillId="41" borderId="33" xfId="0" applyFill="1" applyBorder="1" applyAlignment="1">
      <alignment horizontal="center"/>
    </xf>
    <xf numFmtId="0" fontId="0" fillId="41" borderId="30" xfId="0" applyFill="1" applyBorder="1" applyAlignment="1">
      <alignment horizontal="center"/>
    </xf>
    <xf numFmtId="0" fontId="0" fillId="41" borderId="31" xfId="0" applyFill="1" applyBorder="1" applyAlignment="1">
      <alignment horizontal="center"/>
    </xf>
    <xf numFmtId="0" fontId="29" fillId="41" borderId="0" xfId="0" applyFont="1" applyFill="1" applyAlignment="1">
      <alignment horizontal="left" wrapText="1"/>
    </xf>
    <xf numFmtId="0" fontId="0" fillId="3" borderId="1" xfId="0" applyFill="1" applyBorder="1" applyAlignment="1">
      <alignment wrapText="1"/>
    </xf>
    <xf numFmtId="0" fontId="0" fillId="3" borderId="1" xfId="0" applyFill="1" applyBorder="1" applyAlignment="1">
      <alignment vertical="center" wrapText="1"/>
    </xf>
    <xf numFmtId="0" fontId="5" fillId="41" borderId="18" xfId="0" applyFont="1" applyFill="1" applyBorder="1" applyAlignment="1">
      <alignment horizontal="left" wrapText="1"/>
    </xf>
    <xf numFmtId="0" fontId="5" fillId="41" borderId="0" xfId="0" applyFont="1" applyFill="1" applyAlignment="1">
      <alignment horizontal="left" vertical="center" wrapText="1"/>
    </xf>
    <xf numFmtId="0" fontId="5" fillId="41" borderId="0" xfId="0" applyFont="1" applyFill="1" applyAlignment="1">
      <alignment horizontal="left" wrapText="1"/>
    </xf>
    <xf numFmtId="0" fontId="45" fillId="0" borderId="39" xfId="0" applyFont="1" applyBorder="1" applyAlignment="1">
      <alignment vertical="center"/>
    </xf>
    <xf numFmtId="3" fontId="45" fillId="0" borderId="39" xfId="0" applyNumberFormat="1" applyFont="1" applyBorder="1" applyAlignment="1">
      <alignment horizontal="right" vertical="center"/>
    </xf>
    <xf numFmtId="0" fontId="1" fillId="41" borderId="20" xfId="0" applyFont="1" applyFill="1" applyBorder="1" applyAlignment="1">
      <alignment horizontal="center" vertical="center" wrapText="1"/>
    </xf>
    <xf numFmtId="2" fontId="0" fillId="41" borderId="20" xfId="0" applyNumberFormat="1" applyFill="1" applyBorder="1" applyAlignment="1">
      <alignment horizontal="center"/>
    </xf>
    <xf numFmtId="0" fontId="1" fillId="41" borderId="20" xfId="0" applyFont="1" applyFill="1" applyBorder="1" applyAlignment="1">
      <alignment horizontal="left" vertical="center" wrapText="1"/>
    </xf>
    <xf numFmtId="2" fontId="0" fillId="41" borderId="20" xfId="0" applyNumberFormat="1" applyFill="1" applyBorder="1" applyAlignment="1">
      <alignment horizontal="center" vertical="center"/>
    </xf>
    <xf numFmtId="0" fontId="48" fillId="41" borderId="0" xfId="0" applyFont="1" applyFill="1"/>
    <xf numFmtId="2" fontId="0" fillId="41" borderId="0" xfId="0" applyNumberFormat="1" applyFill="1" applyAlignment="1">
      <alignment vertical="center"/>
    </xf>
    <xf numFmtId="0" fontId="0" fillId="41" borderId="20" xfId="0" applyFill="1" applyBorder="1" applyAlignment="1">
      <alignment horizontal="center" wrapText="1"/>
    </xf>
    <xf numFmtId="0" fontId="5" fillId="41" borderId="38" xfId="0" applyFont="1" applyFill="1" applyBorder="1" applyAlignment="1">
      <alignment horizontal="left" vertical="center" wrapText="1"/>
    </xf>
    <xf numFmtId="0" fontId="5" fillId="41" borderId="37" xfId="0" applyFont="1" applyFill="1" applyBorder="1" applyAlignment="1">
      <alignment horizontal="left" vertical="center" wrapText="1"/>
    </xf>
    <xf numFmtId="0" fontId="5" fillId="41" borderId="35" xfId="0" applyFont="1" applyFill="1" applyBorder="1" applyAlignment="1">
      <alignment horizontal="left" vertical="center" wrapText="1"/>
    </xf>
    <xf numFmtId="169" fontId="29" fillId="0" borderId="18" xfId="0" applyNumberFormat="1" applyFont="1" applyBorder="1" applyAlignment="1">
      <alignment horizontal="center" wrapText="1"/>
    </xf>
    <xf numFmtId="0" fontId="1" fillId="42" borderId="12" xfId="0" applyFont="1" applyFill="1" applyBorder="1" applyAlignment="1">
      <alignment horizontal="center" vertical="center"/>
    </xf>
    <xf numFmtId="2" fontId="0" fillId="41" borderId="1" xfId="0" applyNumberFormat="1" applyFill="1" applyBorder="1" applyAlignment="1">
      <alignment horizontal="center" vertical="center"/>
    </xf>
    <xf numFmtId="168" fontId="29" fillId="0" borderId="18" xfId="0" applyNumberFormat="1" applyFont="1" applyBorder="1" applyAlignment="1">
      <alignment horizontal="center" wrapText="1"/>
    </xf>
    <xf numFmtId="0" fontId="0" fillId="3" borderId="1" xfId="0" applyFill="1" applyBorder="1" applyAlignment="1">
      <alignment horizontal="center"/>
    </xf>
    <xf numFmtId="0" fontId="0" fillId="41" borderId="1" xfId="0" applyFill="1" applyBorder="1" applyAlignment="1">
      <alignment horizontal="center"/>
    </xf>
    <xf numFmtId="0" fontId="1" fillId="0" borderId="20" xfId="0" applyFont="1" applyBorder="1" applyAlignment="1">
      <alignment horizontal="center" vertical="center" wrapText="1"/>
    </xf>
    <xf numFmtId="0" fontId="1" fillId="0" borderId="20" xfId="0" applyFont="1" applyBorder="1" applyAlignment="1">
      <alignment horizontal="left" vertical="center" wrapText="1"/>
    </xf>
    <xf numFmtId="2" fontId="0" fillId="0" borderId="20" xfId="0" applyNumberFormat="1" applyBorder="1" applyAlignment="1">
      <alignment horizontal="center" vertical="center"/>
    </xf>
    <xf numFmtId="49" fontId="0" fillId="41" borderId="20" xfId="0" applyNumberFormat="1" applyFill="1" applyBorder="1" applyAlignment="1">
      <alignment horizontal="center"/>
    </xf>
    <xf numFmtId="49" fontId="0" fillId="41" borderId="20" xfId="0" applyNumberFormat="1" applyFill="1" applyBorder="1" applyAlignment="1">
      <alignment horizontal="center" vertical="top" wrapText="1"/>
    </xf>
    <xf numFmtId="170" fontId="51" fillId="0" borderId="8" xfId="0" applyNumberFormat="1" applyFont="1" applyBorder="1"/>
    <xf numFmtId="0" fontId="32" fillId="41" borderId="0" xfId="0" applyFont="1" applyFill="1" applyAlignment="1">
      <alignment horizontal="center" vertical="center" wrapText="1"/>
    </xf>
    <xf numFmtId="0" fontId="47" fillId="41" borderId="0" xfId="0" applyFont="1" applyFill="1" applyAlignment="1">
      <alignment vertical="center"/>
    </xf>
    <xf numFmtId="0" fontId="0" fillId="0" borderId="20" xfId="0" applyBorder="1" applyAlignment="1">
      <alignment horizontal="center" vertical="center"/>
    </xf>
    <xf numFmtId="0" fontId="0" fillId="0" borderId="20" xfId="0" applyBorder="1"/>
    <xf numFmtId="0" fontId="0" fillId="0" borderId="23" xfId="0" applyBorder="1"/>
    <xf numFmtId="0" fontId="0" fillId="0" borderId="32" xfId="0" applyBorder="1"/>
    <xf numFmtId="0" fontId="0" fillId="0" borderId="22" xfId="0" applyBorder="1"/>
    <xf numFmtId="0" fontId="0" fillId="0" borderId="29" xfId="0" applyBorder="1"/>
    <xf numFmtId="0" fontId="33" fillId="0" borderId="20" xfId="0" applyFont="1" applyBorder="1" applyAlignment="1">
      <alignment horizontal="center" vertical="center" wrapText="1"/>
    </xf>
    <xf numFmtId="0" fontId="33" fillId="0" borderId="29" xfId="0" applyFont="1" applyBorder="1" applyAlignment="1">
      <alignment horizontal="center" vertical="center" wrapText="1"/>
    </xf>
    <xf numFmtId="0" fontId="0" fillId="3" borderId="1" xfId="0" applyFill="1" applyBorder="1" applyAlignment="1">
      <alignment horizontal="left" vertical="top"/>
    </xf>
    <xf numFmtId="0" fontId="1" fillId="41" borderId="29" xfId="0" applyFont="1" applyFill="1" applyBorder="1" applyAlignment="1">
      <alignment horizontal="center" vertical="center" wrapText="1"/>
    </xf>
    <xf numFmtId="0" fontId="1" fillId="41" borderId="20" xfId="0" applyFont="1" applyFill="1" applyBorder="1" applyAlignment="1">
      <alignment horizontal="center"/>
    </xf>
    <xf numFmtId="0" fontId="1" fillId="41" borderId="19" xfId="0" applyFont="1" applyFill="1" applyBorder="1" applyAlignment="1">
      <alignment horizontal="center" vertical="center"/>
    </xf>
    <xf numFmtId="0" fontId="0" fillId="41" borderId="19" xfId="0" applyFill="1" applyBorder="1" applyAlignment="1">
      <alignment horizontal="center" vertical="center"/>
    </xf>
    <xf numFmtId="0" fontId="1" fillId="41" borderId="19" xfId="0" applyFont="1" applyFill="1" applyBorder="1" applyAlignment="1">
      <alignment horizontal="center" vertical="center" wrapText="1"/>
    </xf>
    <xf numFmtId="0" fontId="1" fillId="41" borderId="40" xfId="0" applyFont="1" applyFill="1" applyBorder="1" applyAlignment="1">
      <alignment horizontal="center" vertical="center" wrapText="1"/>
    </xf>
    <xf numFmtId="0" fontId="55" fillId="41" borderId="0" xfId="0" applyFont="1" applyFill="1"/>
    <xf numFmtId="168" fontId="5" fillId="41" borderId="0" xfId="0" applyNumberFormat="1" applyFont="1" applyFill="1" applyAlignment="1">
      <alignment horizontal="center" wrapText="1"/>
    </xf>
    <xf numFmtId="0" fontId="28" fillId="41" borderId="0" xfId="0" applyFont="1" applyFill="1" applyAlignment="1">
      <alignment vertical="top" wrapText="1"/>
    </xf>
    <xf numFmtId="0" fontId="56" fillId="41" borderId="0" xfId="0" applyFont="1" applyFill="1"/>
    <xf numFmtId="0" fontId="58" fillId="0" borderId="10" xfId="0" applyFont="1" applyBorder="1" applyAlignment="1">
      <alignment horizontal="left"/>
    </xf>
    <xf numFmtId="0" fontId="58" fillId="44" borderId="10" xfId="0" applyFont="1" applyFill="1" applyBorder="1" applyAlignment="1">
      <alignment horizontal="left"/>
    </xf>
    <xf numFmtId="170" fontId="51" fillId="41" borderId="41" xfId="0" applyNumberFormat="1" applyFont="1" applyFill="1" applyBorder="1" applyAlignment="1">
      <alignment horizontal="center"/>
    </xf>
    <xf numFmtId="3" fontId="45" fillId="0" borderId="8" xfId="0" applyNumberFormat="1" applyFont="1" applyBorder="1" applyAlignment="1">
      <alignment horizontal="right" vertical="center"/>
    </xf>
    <xf numFmtId="0" fontId="45" fillId="0" borderId="8" xfId="0" applyFont="1" applyBorder="1" applyAlignment="1">
      <alignment horizontal="right" vertical="center"/>
    </xf>
    <xf numFmtId="0" fontId="45" fillId="0" borderId="8" xfId="0" applyFont="1" applyBorder="1" applyAlignment="1">
      <alignment vertical="center"/>
    </xf>
    <xf numFmtId="0" fontId="52" fillId="0" borderId="8" xfId="0" applyFont="1" applyBorder="1"/>
    <xf numFmtId="167" fontId="29" fillId="0" borderId="18" xfId="0" applyNumberFormat="1" applyFont="1" applyBorder="1" applyAlignment="1">
      <alignment horizontal="center" vertical="center"/>
    </xf>
    <xf numFmtId="167" fontId="29" fillId="0" borderId="18" xfId="0" applyNumberFormat="1" applyFont="1" applyBorder="1" applyAlignment="1">
      <alignment horizontal="center"/>
    </xf>
    <xf numFmtId="0" fontId="33" fillId="41" borderId="29" xfId="0" applyFont="1" applyFill="1" applyBorder="1" applyAlignment="1">
      <alignment horizontal="center" vertical="center" wrapText="1"/>
    </xf>
    <xf numFmtId="177" fontId="29" fillId="0" borderId="18" xfId="0" applyNumberFormat="1" applyFont="1" applyBorder="1" applyAlignment="1">
      <alignment horizontal="center"/>
    </xf>
    <xf numFmtId="0" fontId="1" fillId="41" borderId="26" xfId="0" applyFont="1" applyFill="1" applyBorder="1" applyAlignment="1">
      <alignment horizontal="center" vertical="center"/>
    </xf>
    <xf numFmtId="0" fontId="63" fillId="2" borderId="42" xfId="0" applyFont="1" applyFill="1" applyBorder="1"/>
    <xf numFmtId="0" fontId="63" fillId="2" borderId="43" xfId="0" applyFont="1" applyFill="1" applyBorder="1"/>
    <xf numFmtId="0" fontId="1" fillId="41" borderId="19" xfId="0" applyFont="1" applyFill="1" applyBorder="1" applyAlignment="1">
      <alignment horizontal="center"/>
    </xf>
    <xf numFmtId="0" fontId="0" fillId="41" borderId="20" xfId="0" applyFill="1" applyBorder="1" applyAlignment="1">
      <alignment horizontal="left" wrapText="1"/>
    </xf>
    <xf numFmtId="0" fontId="1" fillId="41" borderId="0" xfId="0" applyFont="1" applyFill="1" applyAlignment="1">
      <alignment horizontal="left" vertical="center" wrapText="1"/>
    </xf>
    <xf numFmtId="2" fontId="0" fillId="41" borderId="0" xfId="0" applyNumberFormat="1" applyFill="1" applyAlignment="1">
      <alignment horizontal="center" vertical="center"/>
    </xf>
    <xf numFmtId="0" fontId="0" fillId="41" borderId="0" xfId="0" applyFill="1" applyAlignment="1">
      <alignment horizontal="left" vertical="top"/>
    </xf>
    <xf numFmtId="0" fontId="0" fillId="3" borderId="1" xfId="0" applyFill="1" applyBorder="1" applyAlignment="1">
      <alignment horizontal="left"/>
    </xf>
    <xf numFmtId="9" fontId="0" fillId="41" borderId="14" xfId="0" applyNumberFormat="1" applyFill="1" applyBorder="1"/>
    <xf numFmtId="0" fontId="0" fillId="3" borderId="16" xfId="0" applyFill="1" applyBorder="1"/>
    <xf numFmtId="9" fontId="0" fillId="41" borderId="20" xfId="0" applyNumberFormat="1" applyFill="1" applyBorder="1"/>
    <xf numFmtId="0" fontId="0" fillId="41" borderId="44" xfId="0" applyFill="1" applyBorder="1"/>
    <xf numFmtId="0" fontId="32" fillId="41" borderId="0" xfId="0" applyFont="1" applyFill="1" applyAlignment="1">
      <alignment horizontal="center" vertical="center"/>
    </xf>
    <xf numFmtId="0" fontId="5" fillId="41" borderId="50" xfId="0" applyFont="1" applyFill="1" applyBorder="1" applyAlignment="1">
      <alignment horizontal="left" vertical="center" wrapText="1"/>
    </xf>
    <xf numFmtId="0" fontId="1" fillId="41" borderId="0" xfId="0" applyFont="1" applyFill="1" applyAlignment="1">
      <alignment horizontal="center" vertical="center" wrapText="1"/>
    </xf>
    <xf numFmtId="2" fontId="0" fillId="0" borderId="0" xfId="0" applyNumberFormat="1" applyAlignment="1">
      <alignment horizontal="center" vertical="center"/>
    </xf>
    <xf numFmtId="2" fontId="0" fillId="41" borderId="14" xfId="0" applyNumberFormat="1" applyFill="1" applyBorder="1" applyAlignment="1">
      <alignment horizontal="center" vertical="center"/>
    </xf>
    <xf numFmtId="167" fontId="29" fillId="0" borderId="49" xfId="0" applyNumberFormat="1" applyFont="1" applyBorder="1" applyAlignment="1">
      <alignment horizontal="center" vertical="center"/>
    </xf>
    <xf numFmtId="0" fontId="1" fillId="41" borderId="22" xfId="0" applyFont="1" applyFill="1" applyBorder="1" applyAlignment="1">
      <alignment horizontal="center"/>
    </xf>
    <xf numFmtId="0" fontId="33" fillId="41" borderId="0" xfId="0" applyFont="1" applyFill="1" applyAlignment="1">
      <alignment horizontal="center" vertical="center" wrapText="1"/>
    </xf>
    <xf numFmtId="0" fontId="48" fillId="41" borderId="12" xfId="0" applyFont="1" applyFill="1" applyBorder="1"/>
    <xf numFmtId="0" fontId="84" fillId="41" borderId="0" xfId="0" applyFont="1" applyFill="1"/>
    <xf numFmtId="0" fontId="0" fillId="41" borderId="0" xfId="0" applyFill="1" applyProtection="1">
      <protection hidden="1"/>
    </xf>
    <xf numFmtId="0" fontId="2" fillId="41" borderId="0" xfId="1" applyFill="1" applyProtection="1">
      <protection hidden="1"/>
    </xf>
    <xf numFmtId="0" fontId="0" fillId="41" borderId="0" xfId="0" applyFill="1" applyAlignment="1" applyProtection="1">
      <alignment vertical="top"/>
      <protection hidden="1"/>
    </xf>
    <xf numFmtId="0" fontId="1" fillId="42" borderId="19" xfId="0" applyFont="1" applyFill="1" applyBorder="1" applyAlignment="1" applyProtection="1">
      <alignment horizontal="center" vertical="center" wrapText="1"/>
      <protection hidden="1"/>
    </xf>
    <xf numFmtId="165" fontId="0" fillId="41" borderId="19" xfId="0" applyNumberFormat="1" applyFill="1" applyBorder="1" applyAlignment="1" applyProtection="1">
      <alignment horizontal="center" vertical="center"/>
      <protection hidden="1"/>
    </xf>
    <xf numFmtId="2" fontId="0" fillId="41" borderId="19" xfId="0" applyNumberFormat="1" applyFill="1" applyBorder="1" applyAlignment="1" applyProtection="1">
      <alignment vertical="center"/>
      <protection hidden="1"/>
    </xf>
    <xf numFmtId="165" fontId="0" fillId="41" borderId="0" xfId="0" applyNumberFormat="1" applyFill="1" applyAlignment="1" applyProtection="1">
      <alignment horizontal="center" vertical="center"/>
      <protection hidden="1"/>
    </xf>
    <xf numFmtId="2" fontId="0" fillId="41" borderId="0" xfId="0" applyNumberFormat="1" applyFill="1" applyAlignment="1" applyProtection="1">
      <alignment vertical="center"/>
      <protection hidden="1"/>
    </xf>
    <xf numFmtId="164" fontId="0" fillId="41" borderId="0" xfId="0" applyNumberFormat="1" applyFill="1" applyAlignment="1" applyProtection="1">
      <alignment horizontal="center"/>
      <protection hidden="1"/>
    </xf>
    <xf numFmtId="0" fontId="0" fillId="41" borderId="19" xfId="0" applyFill="1" applyBorder="1" applyProtection="1">
      <protection hidden="1"/>
    </xf>
    <xf numFmtId="2" fontId="0" fillId="41" borderId="19" xfId="0" applyNumberFormat="1" applyFill="1" applyBorder="1" applyProtection="1">
      <protection hidden="1"/>
    </xf>
    <xf numFmtId="165" fontId="0" fillId="41" borderId="0" xfId="0" applyNumberFormat="1" applyFill="1" applyAlignment="1" applyProtection="1">
      <alignment horizontal="center"/>
      <protection hidden="1"/>
    </xf>
    <xf numFmtId="2" fontId="0" fillId="41" borderId="0" xfId="0" applyNumberFormat="1" applyFill="1" applyProtection="1">
      <protection hidden="1"/>
    </xf>
    <xf numFmtId="0" fontId="1" fillId="41" borderId="44" xfId="0" applyFont="1" applyFill="1" applyBorder="1" applyAlignment="1" applyProtection="1">
      <alignment horizontal="center"/>
      <protection hidden="1"/>
    </xf>
    <xf numFmtId="0" fontId="1" fillId="42" borderId="28" xfId="0" applyFont="1" applyFill="1" applyBorder="1" applyAlignment="1" applyProtection="1">
      <alignment horizontal="center" vertical="center" wrapText="1"/>
      <protection hidden="1"/>
    </xf>
    <xf numFmtId="0" fontId="1" fillId="42" borderId="26" xfId="0" applyFont="1" applyFill="1" applyBorder="1" applyAlignment="1" applyProtection="1">
      <alignment horizontal="center" vertical="center" wrapText="1"/>
      <protection hidden="1"/>
    </xf>
    <xf numFmtId="0" fontId="0" fillId="41" borderId="27" xfId="0" applyFill="1" applyBorder="1" applyAlignment="1" applyProtection="1">
      <alignment horizontal="center"/>
      <protection hidden="1"/>
    </xf>
    <xf numFmtId="0" fontId="0" fillId="41" borderId="19" xfId="0" applyFill="1" applyBorder="1" applyAlignment="1" applyProtection="1">
      <alignment horizontal="center"/>
      <protection hidden="1"/>
    </xf>
    <xf numFmtId="0" fontId="0" fillId="41" borderId="0" xfId="0" applyFill="1" applyAlignment="1" applyProtection="1">
      <alignment horizontal="center"/>
      <protection hidden="1"/>
    </xf>
    <xf numFmtId="0" fontId="0" fillId="41" borderId="0" xfId="0" applyFill="1" applyAlignment="1" applyProtection="1">
      <alignment vertical="center"/>
      <protection hidden="1"/>
    </xf>
    <xf numFmtId="0" fontId="1" fillId="42" borderId="45" xfId="0" applyFont="1" applyFill="1" applyBorder="1" applyAlignment="1" applyProtection="1">
      <alignment horizontal="center" vertical="center" wrapText="1"/>
      <protection hidden="1"/>
    </xf>
    <xf numFmtId="0" fontId="0" fillId="41" borderId="24" xfId="0" applyFill="1" applyBorder="1" applyAlignment="1" applyProtection="1">
      <alignment horizontal="center"/>
      <protection hidden="1"/>
    </xf>
    <xf numFmtId="0" fontId="0" fillId="41" borderId="20" xfId="0" applyFill="1" applyBorder="1" applyAlignment="1" applyProtection="1">
      <alignment horizontal="center"/>
      <protection hidden="1"/>
    </xf>
    <xf numFmtId="164" fontId="0" fillId="41" borderId="19" xfId="0" applyNumberFormat="1" applyFill="1" applyBorder="1" applyAlignment="1" applyProtection="1">
      <alignment horizontal="center"/>
      <protection hidden="1"/>
    </xf>
    <xf numFmtId="0" fontId="1" fillId="41" borderId="20" xfId="0" applyFont="1" applyFill="1" applyBorder="1" applyAlignment="1" applyProtection="1">
      <alignment horizontal="center" vertical="center" wrapText="1"/>
      <protection hidden="1"/>
    </xf>
    <xf numFmtId="0" fontId="0" fillId="41" borderId="0" xfId="0" applyFill="1" applyProtection="1">
      <protection locked="0"/>
    </xf>
    <xf numFmtId="0" fontId="0" fillId="41" borderId="0" xfId="0" applyFill="1" applyProtection="1">
      <protection locked="0" hidden="1"/>
    </xf>
    <xf numFmtId="0" fontId="0" fillId="3" borderId="0" xfId="0" applyFill="1" applyProtection="1">
      <protection locked="0"/>
    </xf>
    <xf numFmtId="0" fontId="0" fillId="3" borderId="0" xfId="0" applyFill="1"/>
    <xf numFmtId="0" fontId="27" fillId="41" borderId="0" xfId="0" applyFont="1" applyFill="1"/>
    <xf numFmtId="0" fontId="27" fillId="3" borderId="0" xfId="0" applyFont="1" applyFill="1"/>
    <xf numFmtId="0" fontId="6" fillId="3" borderId="0" xfId="0" applyFont="1" applyFill="1" applyAlignment="1">
      <alignment horizontal="left" wrapText="1"/>
    </xf>
    <xf numFmtId="0" fontId="6" fillId="41" borderId="0" xfId="0" applyFont="1" applyFill="1" applyAlignment="1">
      <alignment horizontal="left" wrapText="1"/>
    </xf>
    <xf numFmtId="0" fontId="3" fillId="41" borderId="0" xfId="0" applyFont="1" applyFill="1" applyAlignment="1">
      <alignment horizontal="left" wrapText="1"/>
    </xf>
    <xf numFmtId="0" fontId="30" fillId="41" borderId="0" xfId="0" applyFont="1" applyFill="1"/>
    <xf numFmtId="0" fontId="26" fillId="41" borderId="0" xfId="0" applyFont="1" applyFill="1" applyAlignment="1">
      <alignment vertical="top"/>
    </xf>
    <xf numFmtId="0" fontId="0" fillId="41" borderId="0" xfId="0" applyFill="1" applyAlignment="1">
      <alignment horizontal="left" vertical="top" wrapText="1"/>
    </xf>
    <xf numFmtId="0" fontId="35" fillId="41" borderId="0" xfId="0" applyFont="1" applyFill="1"/>
    <xf numFmtId="0" fontId="82" fillId="41" borderId="0" xfId="1" applyFont="1" applyFill="1" applyBorder="1" applyProtection="1"/>
    <xf numFmtId="0" fontId="83" fillId="41" borderId="0" xfId="0" applyFont="1" applyFill="1"/>
    <xf numFmtId="0" fontId="78" fillId="41" borderId="0" xfId="1" applyFont="1" applyFill="1" applyBorder="1" applyProtection="1"/>
    <xf numFmtId="0" fontId="26" fillId="41" borderId="0" xfId="0" applyFont="1" applyFill="1"/>
    <xf numFmtId="0" fontId="6" fillId="41" borderId="0" xfId="0" applyFont="1" applyFill="1" applyProtection="1">
      <protection locked="0"/>
    </xf>
    <xf numFmtId="0" fontId="3" fillId="41" borderId="0" xfId="0" applyFont="1" applyFill="1"/>
    <xf numFmtId="0" fontId="25" fillId="41" borderId="0" xfId="0" applyFont="1" applyFill="1"/>
    <xf numFmtId="0" fontId="65" fillId="0" borderId="0" xfId="0" applyFont="1" applyAlignment="1">
      <alignment horizontal="center" vertical="center"/>
    </xf>
    <xf numFmtId="0" fontId="65" fillId="41" borderId="0" xfId="0" applyFont="1" applyFill="1" applyAlignment="1">
      <alignment horizontal="center" vertical="center"/>
    </xf>
    <xf numFmtId="0" fontId="0" fillId="41" borderId="0" xfId="0" applyFill="1" applyAlignment="1">
      <alignment horizontal="right"/>
    </xf>
    <xf numFmtId="0" fontId="1" fillId="41" borderId="0" xfId="0" applyFont="1" applyFill="1" applyAlignment="1">
      <alignment horizontal="left"/>
    </xf>
    <xf numFmtId="2" fontId="1" fillId="41" borderId="0" xfId="0" applyNumberFormat="1" applyFont="1" applyFill="1"/>
    <xf numFmtId="164" fontId="0" fillId="41" borderId="0" xfId="0" applyNumberFormat="1" applyFill="1"/>
    <xf numFmtId="0" fontId="0" fillId="3" borderId="20" xfId="0" applyFill="1" applyBorder="1" applyAlignment="1">
      <alignment vertical="center" wrapText="1"/>
    </xf>
    <xf numFmtId="164" fontId="0" fillId="3" borderId="20" xfId="0" applyNumberFormat="1" applyFill="1" applyBorder="1" applyAlignment="1">
      <alignment horizontal="center" vertical="center"/>
    </xf>
    <xf numFmtId="0" fontId="0" fillId="3" borderId="20" xfId="0" applyFill="1" applyBorder="1" applyAlignment="1">
      <alignment wrapText="1"/>
    </xf>
    <xf numFmtId="166" fontId="0" fillId="41" borderId="0" xfId="0" applyNumberFormat="1" applyFill="1"/>
    <xf numFmtId="177" fontId="29" fillId="0" borderId="55" xfId="0" applyNumberFormat="1" applyFont="1" applyBorder="1" applyAlignment="1">
      <alignment horizontal="center" wrapText="1"/>
    </xf>
    <xf numFmtId="178" fontId="0" fillId="0" borderId="18" xfId="0" applyNumberFormat="1" applyBorder="1" applyAlignment="1">
      <alignment horizontal="center"/>
    </xf>
    <xf numFmtId="177" fontId="0" fillId="41" borderId="1" xfId="0" applyNumberFormat="1" applyFill="1" applyBorder="1"/>
    <xf numFmtId="0" fontId="0" fillId="3" borderId="0" xfId="0" applyFill="1" applyAlignment="1">
      <alignment horizontal="left"/>
    </xf>
    <xf numFmtId="0" fontId="85" fillId="3" borderId="0" xfId="0" applyFont="1" applyFill="1" applyAlignment="1">
      <alignment horizontal="center" vertical="center"/>
    </xf>
    <xf numFmtId="0" fontId="0" fillId="3" borderId="0" xfId="0" applyFill="1" applyAlignment="1">
      <alignment horizontal="center"/>
    </xf>
    <xf numFmtId="0" fontId="6" fillId="3" borderId="0" xfId="0" applyFont="1" applyFill="1" applyAlignment="1">
      <alignment horizontal="left" wrapText="1"/>
    </xf>
    <xf numFmtId="0" fontId="37" fillId="3" borderId="0" xfId="0" applyFont="1" applyFill="1" applyAlignment="1">
      <alignment horizontal="center"/>
    </xf>
    <xf numFmtId="0" fontId="81" fillId="41" borderId="0" xfId="0" applyFont="1" applyFill="1" applyAlignment="1">
      <alignment horizontal="left" wrapText="1"/>
    </xf>
    <xf numFmtId="0" fontId="80" fillId="41" borderId="0" xfId="0" applyFont="1" applyFill="1" applyAlignment="1">
      <alignment horizontal="left" vertical="top" wrapText="1"/>
    </xf>
    <xf numFmtId="0" fontId="79" fillId="41" borderId="0" xfId="0" applyFont="1" applyFill="1" applyAlignment="1">
      <alignment horizontal="left" vertical="top" wrapText="1"/>
    </xf>
    <xf numFmtId="0" fontId="86" fillId="3" borderId="0" xfId="0" applyFont="1" applyFill="1" applyAlignment="1">
      <alignment horizontal="center"/>
    </xf>
    <xf numFmtId="0" fontId="0" fillId="3" borderId="0" xfId="0" applyFill="1" applyAlignment="1" applyProtection="1">
      <alignment horizontal="left"/>
      <protection locked="0"/>
    </xf>
    <xf numFmtId="0" fontId="64" fillId="3" borderId="0" xfId="0" applyFont="1" applyFill="1" applyAlignment="1">
      <alignment horizontal="center"/>
    </xf>
    <xf numFmtId="0" fontId="32" fillId="41" borderId="0" xfId="0" applyFont="1" applyFill="1" applyAlignment="1">
      <alignment horizontal="center" vertical="center" wrapText="1"/>
    </xf>
    <xf numFmtId="0" fontId="32" fillId="41" borderId="0" xfId="0" applyFont="1" applyFill="1" applyAlignment="1">
      <alignment horizontal="center" vertical="center"/>
    </xf>
    <xf numFmtId="0" fontId="36" fillId="47" borderId="0" xfId="0" applyFont="1" applyFill="1" applyAlignment="1">
      <alignment horizontal="center" vertical="center"/>
    </xf>
    <xf numFmtId="0" fontId="39" fillId="41" borderId="0" xfId="0" applyFont="1" applyFill="1" applyAlignment="1">
      <alignment horizontal="left" vertical="center" wrapText="1"/>
    </xf>
    <xf numFmtId="0" fontId="39" fillId="41" borderId="0" xfId="0" applyFont="1" applyFill="1" applyAlignment="1">
      <alignment horizontal="left" wrapText="1"/>
    </xf>
    <xf numFmtId="0" fontId="39" fillId="41" borderId="0" xfId="0" applyFont="1" applyFill="1" applyAlignment="1">
      <alignment horizontal="left"/>
    </xf>
    <xf numFmtId="0" fontId="40" fillId="41" borderId="0" xfId="0" applyFont="1" applyFill="1" applyAlignment="1">
      <alignment horizontal="left"/>
    </xf>
    <xf numFmtId="0" fontId="0" fillId="41" borderId="46" xfId="0" applyFill="1" applyBorder="1" applyAlignment="1" applyProtection="1">
      <alignment horizontal="center"/>
      <protection hidden="1"/>
    </xf>
    <xf numFmtId="0" fontId="0" fillId="41" borderId="40" xfId="0" applyFill="1" applyBorder="1" applyAlignment="1" applyProtection="1">
      <alignment horizontal="center"/>
      <protection hidden="1"/>
    </xf>
    <xf numFmtId="0" fontId="1" fillId="41" borderId="44" xfId="0" applyFont="1" applyFill="1" applyBorder="1" applyAlignment="1" applyProtection="1">
      <alignment horizontal="center"/>
      <protection hidden="1"/>
    </xf>
    <xf numFmtId="0" fontId="1" fillId="41" borderId="20" xfId="0" applyFont="1" applyFill="1" applyBorder="1" applyAlignment="1">
      <alignment horizontal="center" vertical="center" wrapText="1"/>
    </xf>
    <xf numFmtId="0" fontId="1" fillId="41" borderId="29" xfId="0" applyFont="1" applyFill="1" applyBorder="1" applyAlignment="1">
      <alignment horizontal="center" vertical="center" wrapText="1"/>
    </xf>
    <xf numFmtId="0" fontId="1" fillId="41" borderId="20" xfId="0" applyFont="1" applyFill="1" applyBorder="1" applyAlignment="1">
      <alignment horizontal="center"/>
    </xf>
    <xf numFmtId="0" fontId="1" fillId="41" borderId="29" xfId="0" applyFont="1" applyFill="1" applyBorder="1" applyAlignment="1">
      <alignment horizontal="center"/>
    </xf>
    <xf numFmtId="0" fontId="33" fillId="41" borderId="20" xfId="0" applyFont="1" applyFill="1" applyBorder="1" applyAlignment="1">
      <alignment horizontal="center" vertical="center" wrapText="1"/>
    </xf>
    <xf numFmtId="0" fontId="1" fillId="41" borderId="19" xfId="0" applyFont="1" applyFill="1" applyBorder="1" applyAlignment="1" applyProtection="1">
      <alignment horizontal="center"/>
      <protection hidden="1"/>
    </xf>
    <xf numFmtId="0" fontId="1" fillId="41" borderId="47" xfId="0" applyFont="1" applyFill="1" applyBorder="1" applyAlignment="1" applyProtection="1">
      <alignment horizontal="center"/>
      <protection hidden="1"/>
    </xf>
    <xf numFmtId="0" fontId="1" fillId="41" borderId="21" xfId="0" applyFont="1" applyFill="1" applyBorder="1" applyAlignment="1">
      <alignment horizontal="center" vertical="center" wrapText="1"/>
    </xf>
    <xf numFmtId="0" fontId="1" fillId="41" borderId="22" xfId="0" applyFont="1" applyFill="1" applyBorder="1" applyAlignment="1">
      <alignment horizontal="center" vertical="center" wrapText="1"/>
    </xf>
    <xf numFmtId="0" fontId="31" fillId="41" borderId="0" xfId="0" applyFont="1" applyFill="1" applyAlignment="1">
      <alignment horizontal="left" vertical="center"/>
    </xf>
    <xf numFmtId="0" fontId="33" fillId="41" borderId="21" xfId="0" applyFont="1" applyFill="1" applyBorder="1" applyAlignment="1">
      <alignment horizontal="center" vertical="center" wrapText="1"/>
    </xf>
    <xf numFmtId="0" fontId="39" fillId="41" borderId="0" xfId="0" applyFont="1" applyFill="1" applyAlignment="1">
      <alignment horizontal="left" vertical="top" wrapText="1"/>
    </xf>
    <xf numFmtId="0" fontId="1" fillId="41" borderId="51" xfId="0" applyFont="1" applyFill="1" applyBorder="1" applyAlignment="1" applyProtection="1">
      <alignment horizontal="center"/>
      <protection hidden="1"/>
    </xf>
    <xf numFmtId="0" fontId="1" fillId="41" borderId="52" xfId="0" applyFont="1" applyFill="1" applyBorder="1" applyAlignment="1" applyProtection="1">
      <alignment horizontal="center"/>
      <protection hidden="1"/>
    </xf>
    <xf numFmtId="0" fontId="1" fillId="41" borderId="53" xfId="0" applyFont="1" applyFill="1" applyBorder="1" applyAlignment="1" applyProtection="1">
      <alignment horizontal="center"/>
      <protection hidden="1"/>
    </xf>
    <xf numFmtId="0" fontId="1" fillId="41" borderId="19" xfId="0" applyFont="1" applyFill="1" applyBorder="1" applyAlignment="1">
      <alignment horizontal="center" vertical="center"/>
    </xf>
    <xf numFmtId="0" fontId="0" fillId="41" borderId="19" xfId="0" applyFill="1" applyBorder="1" applyAlignment="1">
      <alignment horizontal="center" vertical="center"/>
    </xf>
    <xf numFmtId="0" fontId="33" fillId="41" borderId="19" xfId="0" applyFont="1" applyFill="1" applyBorder="1" applyAlignment="1">
      <alignment horizontal="center" vertical="center" wrapText="1"/>
    </xf>
    <xf numFmtId="0" fontId="33" fillId="41" borderId="40" xfId="0" applyFont="1" applyFill="1" applyBorder="1" applyAlignment="1">
      <alignment horizontal="center" vertical="center" wrapText="1"/>
    </xf>
    <xf numFmtId="0" fontId="1" fillId="41" borderId="24" xfId="0" applyFont="1" applyFill="1" applyBorder="1" applyAlignment="1">
      <alignment horizontal="center" vertical="center"/>
    </xf>
    <xf numFmtId="0" fontId="1" fillId="41" borderId="25" xfId="0" applyFont="1" applyFill="1" applyBorder="1" applyAlignment="1">
      <alignment horizontal="center" vertical="center"/>
    </xf>
    <xf numFmtId="0" fontId="1" fillId="41" borderId="19" xfId="0" applyFont="1" applyFill="1" applyBorder="1" applyAlignment="1">
      <alignment horizontal="center" vertical="center" wrapText="1"/>
    </xf>
    <xf numFmtId="0" fontId="1" fillId="41" borderId="22" xfId="0" applyFont="1" applyFill="1" applyBorder="1" applyAlignment="1">
      <alignment horizontal="center"/>
    </xf>
    <xf numFmtId="0" fontId="1" fillId="41" borderId="23" xfId="0" applyFont="1" applyFill="1" applyBorder="1" applyAlignment="1">
      <alignment horizontal="center"/>
    </xf>
    <xf numFmtId="0" fontId="33" fillId="41" borderId="22" xfId="0" applyFont="1" applyFill="1" applyBorder="1" applyAlignment="1">
      <alignment horizontal="center" vertical="center" wrapText="1"/>
    </xf>
    <xf numFmtId="0" fontId="33" fillId="41" borderId="24" xfId="0" applyFont="1" applyFill="1" applyBorder="1" applyAlignment="1">
      <alignment horizontal="center" vertical="center" wrapText="1"/>
    </xf>
    <xf numFmtId="0" fontId="33" fillId="41" borderId="26" xfId="0" applyFont="1" applyFill="1" applyBorder="1" applyAlignment="1">
      <alignment horizontal="center" vertical="center" wrapText="1"/>
    </xf>
    <xf numFmtId="0" fontId="1" fillId="41" borderId="54" xfId="0" applyFont="1" applyFill="1" applyBorder="1" applyAlignment="1">
      <alignment horizontal="center" vertical="center"/>
    </xf>
    <xf numFmtId="0" fontId="1" fillId="41" borderId="48" xfId="0" applyFont="1" applyFill="1" applyBorder="1" applyAlignment="1">
      <alignment horizontal="center" vertical="center"/>
    </xf>
    <xf numFmtId="0" fontId="1" fillId="41" borderId="26" xfId="0" applyFont="1" applyFill="1" applyBorder="1" applyAlignment="1">
      <alignment horizontal="center" vertical="center" wrapText="1"/>
    </xf>
    <xf numFmtId="0" fontId="1" fillId="41" borderId="1" xfId="0" applyFont="1" applyFill="1" applyBorder="1" applyAlignment="1">
      <alignment horizontal="center" vertical="center"/>
    </xf>
    <xf numFmtId="0" fontId="33" fillId="41" borderId="20" xfId="0" applyFont="1" applyFill="1" applyBorder="1" applyAlignment="1" applyProtection="1">
      <alignment horizontal="center" vertical="center" wrapText="1"/>
      <protection hidden="1"/>
    </xf>
    <xf numFmtId="0" fontId="33" fillId="41" borderId="29" xfId="0" applyFont="1" applyFill="1" applyBorder="1" applyAlignment="1">
      <alignment horizontal="center" vertical="center" wrapText="1"/>
    </xf>
    <xf numFmtId="0" fontId="1" fillId="41" borderId="29" xfId="0" applyFont="1" applyFill="1" applyBorder="1" applyAlignment="1" applyProtection="1">
      <alignment horizontal="center" vertical="center" wrapText="1"/>
      <protection hidden="1"/>
    </xf>
    <xf numFmtId="0" fontId="1" fillId="41" borderId="30" xfId="0" applyFont="1" applyFill="1" applyBorder="1" applyAlignment="1" applyProtection="1">
      <alignment horizontal="center" vertical="center" wrapText="1"/>
      <protection hidden="1"/>
    </xf>
    <xf numFmtId="0" fontId="1" fillId="41" borderId="36" xfId="0" applyFont="1" applyFill="1" applyBorder="1" applyAlignment="1" applyProtection="1">
      <alignment horizontal="center" vertical="center" wrapText="1"/>
      <protection hidden="1"/>
    </xf>
    <xf numFmtId="0" fontId="1" fillId="42" borderId="29" xfId="0" applyFont="1" applyFill="1" applyBorder="1" applyAlignment="1">
      <alignment horizontal="center" vertical="center" wrapText="1"/>
    </xf>
    <xf numFmtId="0" fontId="1" fillId="42" borderId="30" xfId="0" applyFont="1" applyFill="1" applyBorder="1" applyAlignment="1">
      <alignment horizontal="center" vertical="center" wrapText="1"/>
    </xf>
    <xf numFmtId="0" fontId="1" fillId="42" borderId="36" xfId="0" applyFont="1" applyFill="1" applyBorder="1" applyAlignment="1">
      <alignment horizontal="center" vertical="center" wrapText="1"/>
    </xf>
    <xf numFmtId="0" fontId="26" fillId="41" borderId="0" xfId="0" applyFont="1" applyFill="1" applyAlignment="1">
      <alignment horizontal="left" wrapText="1"/>
    </xf>
    <xf numFmtId="0" fontId="0" fillId="41" borderId="44" xfId="0" applyFill="1" applyBorder="1" applyAlignment="1">
      <alignment horizontal="left" vertical="top"/>
    </xf>
    <xf numFmtId="0" fontId="0" fillId="41" borderId="44" xfId="0" applyFill="1" applyBorder="1" applyAlignment="1">
      <alignment vertical="top"/>
    </xf>
    <xf numFmtId="0" fontId="0" fillId="3" borderId="16" xfId="0" applyFill="1" applyBorder="1" applyAlignment="1">
      <alignment horizontal="left" vertical="top"/>
    </xf>
    <xf numFmtId="0" fontId="0" fillId="3" borderId="17" xfId="0" applyFill="1" applyBorder="1" applyAlignment="1">
      <alignment horizontal="left" vertical="top"/>
    </xf>
    <xf numFmtId="0" fontId="0" fillId="3" borderId="15" xfId="0" applyFill="1" applyBorder="1" applyAlignment="1">
      <alignment horizontal="left" vertical="top"/>
    </xf>
    <xf numFmtId="0" fontId="0" fillId="3" borderId="1" xfId="0" applyFill="1" applyBorder="1" applyAlignment="1">
      <alignment horizontal="left" vertical="top"/>
    </xf>
    <xf numFmtId="0" fontId="5" fillId="41" borderId="19" xfId="0" applyFont="1" applyFill="1" applyBorder="1" applyAlignment="1">
      <alignment horizontal="center" vertical="center" wrapText="1"/>
    </xf>
    <xf numFmtId="0" fontId="1" fillId="42" borderId="12" xfId="0" applyFont="1" applyFill="1" applyBorder="1" applyAlignment="1">
      <alignment horizontal="center" vertical="center"/>
    </xf>
    <xf numFmtId="0" fontId="1" fillId="42" borderId="14" xfId="0" applyFont="1" applyFill="1" applyBorder="1" applyAlignment="1">
      <alignment horizontal="center" vertical="center"/>
    </xf>
    <xf numFmtId="0" fontId="1" fillId="42" borderId="13" xfId="0" applyFont="1" applyFill="1" applyBorder="1" applyAlignment="1">
      <alignment horizontal="center" vertical="center"/>
    </xf>
    <xf numFmtId="0" fontId="1" fillId="42" borderId="1" xfId="0" applyFont="1" applyFill="1" applyBorder="1" applyAlignment="1">
      <alignment horizontal="center" vertical="center"/>
    </xf>
    <xf numFmtId="2" fontId="0" fillId="41" borderId="1" xfId="0" applyNumberFormat="1" applyFill="1" applyBorder="1" applyAlignment="1">
      <alignment horizontal="center"/>
    </xf>
  </cellXfs>
  <cellStyles count="92">
    <cellStyle name="20% - Énfasis1" xfId="13" builtinId="30" customBuiltin="1"/>
    <cellStyle name="20% - Énfasis2" xfId="17" builtinId="34" customBuiltin="1"/>
    <cellStyle name="20% - Énfasis3" xfId="21" builtinId="38" customBuiltin="1"/>
    <cellStyle name="20% - Énfasis4" xfId="25" builtinId="42" customBuiltin="1"/>
    <cellStyle name="20% - Énfasis5" xfId="29" builtinId="46" customBuiltin="1"/>
    <cellStyle name="20% - Énfasis6" xfId="33" builtinId="50" customBuiltin="1"/>
    <cellStyle name="40% - Énfasis1" xfId="14" builtinId="31" customBuiltin="1"/>
    <cellStyle name="40% - Énfasis2" xfId="18" builtinId="35" customBuiltin="1"/>
    <cellStyle name="40% - Énfasis3" xfId="22" builtinId="39" customBuiltin="1"/>
    <cellStyle name="40% - Énfasis4" xfId="26" builtinId="43" customBuiltin="1"/>
    <cellStyle name="40% - Énfasis5" xfId="30" builtinId="47" customBuiltin="1"/>
    <cellStyle name="40% - Énfasis6" xfId="34" builtinId="51" customBuiltin="1"/>
    <cellStyle name="60% - Énfasis1" xfId="15" builtinId="32" customBuiltin="1"/>
    <cellStyle name="60% - Énfasis2" xfId="19" builtinId="36" customBuiltin="1"/>
    <cellStyle name="60% - Énfasis3" xfId="23" builtinId="40" customBuiltin="1"/>
    <cellStyle name="60% - Énfasis4" xfId="27" builtinId="44" customBuiltin="1"/>
    <cellStyle name="60% - Énfasis5" xfId="31" builtinId="48" customBuiltin="1"/>
    <cellStyle name="60% - Énfasis6" xfId="35" builtinId="52" customBuiltin="1"/>
    <cellStyle name="Bueno" xfId="8" builtinId="26" customBuiltin="1"/>
    <cellStyle name="Calculation 2" xfId="38" xr:uid="{E1B90B24-BFF4-46F3-B434-167087612A19}"/>
    <cellStyle name="Calculation 3" xfId="37" xr:uid="{C3DB66D3-4A36-4325-AD67-2B605BA3530B}"/>
    <cellStyle name="Celda de comprobación" xfId="11" builtinId="23" customBuiltin="1"/>
    <cellStyle name="Comma 2" xfId="40" xr:uid="{531B7DCA-1AA3-4AF7-BE8A-E3DF2937B264}"/>
    <cellStyle name="Comma 3" xfId="39" xr:uid="{A161A9B5-E15B-4E21-9209-AE0FC2FED878}"/>
    <cellStyle name="Comma 4" xfId="68" xr:uid="{9E0A52C3-C762-4440-8E8F-FAA14337F623}"/>
    <cellStyle name="Énfasis1" xfId="12" builtinId="29" customBuiltin="1"/>
    <cellStyle name="Énfasis2" xfId="16" builtinId="33" customBuiltin="1"/>
    <cellStyle name="Énfasis3" xfId="20" builtinId="37" customBuiltin="1"/>
    <cellStyle name="Énfasis4" xfId="24" builtinId="41" customBuiltin="1"/>
    <cellStyle name="Énfasis5" xfId="28" builtinId="45" customBuiltin="1"/>
    <cellStyle name="Énfasis6" xfId="32" builtinId="49" customBuiltin="1"/>
    <cellStyle name="Enllaç 2" xfId="87" xr:uid="{83818A06-DC5F-422E-9453-CF804CDCB2C5}"/>
    <cellStyle name="Explanatory Text 2" xfId="41" xr:uid="{33E7F7A9-1916-4076-813A-99248945AC24}"/>
    <cellStyle name="Followed Hyperlink 2" xfId="42" xr:uid="{0CFECFB4-04C6-4876-8E8E-4086DA3C7B9A}"/>
    <cellStyle name="Grey" xfId="65" xr:uid="{89448758-48D9-4DB2-A5A9-1DE6A0B2CC97}"/>
    <cellStyle name="Hipervínculo" xfId="1" builtinId="8"/>
    <cellStyle name="Hipervínculo 2" xfId="63" xr:uid="{F6825BC8-5601-4980-9D1A-A7DAE780E732}"/>
    <cellStyle name="Hyperlink 2" xfId="43" xr:uid="{F18EC9E0-C6C8-4125-A0E9-B18C154E49F4}"/>
    <cellStyle name="Hyperlink 3" xfId="66" xr:uid="{D44A4C0B-9DF9-415F-98EF-63EAC9B8FDF9}"/>
    <cellStyle name="Incorrecto" xfId="9" builtinId="27" customBuiltin="1"/>
    <cellStyle name="Input [yellow]" xfId="67" xr:uid="{CC7D3FF9-EF6F-48E9-BC60-B063B7FFAE33}"/>
    <cellStyle name="Input 2" xfId="44" xr:uid="{3CC93E5F-DBAC-45A7-8901-3A34B5EE2133}"/>
    <cellStyle name="Input 3" xfId="54" xr:uid="{21A126A8-1DC8-48F8-A49C-EAEECF0F4D4B}"/>
    <cellStyle name="Input data" xfId="45" xr:uid="{C84D62DB-D198-4F3D-A27D-9CF2449C959C}"/>
    <cellStyle name="Linked Cell 2" xfId="46" xr:uid="{AB1FE680-F559-43D3-8C0D-1E568E89C012}"/>
    <cellStyle name="Millares 2" xfId="55" xr:uid="{264E6FC3-ECD3-44B3-BCFD-0C165B416DDA}"/>
    <cellStyle name="Millares 2 2" xfId="56" xr:uid="{7A6F962A-3E77-4E72-B559-EEB3403CCEFA}"/>
    <cellStyle name="Millares 3" xfId="57" xr:uid="{08F3D0B3-0D17-4C97-846F-0EDAA7D053AE}"/>
    <cellStyle name="Millares 3 2" xfId="58" xr:uid="{9944C9C5-D7E3-41CF-84CD-3565B78410D3}"/>
    <cellStyle name="Milliers [0]_Annex_comb_guideline_version4-2" xfId="69" xr:uid="{F280769E-BACF-4AB5-9643-7AA7F78043BC}"/>
    <cellStyle name="Milliers_Annex_comb_guideline_version4-2" xfId="70" xr:uid="{BE37ECC4-BFF5-46B5-AE64-2EAE26A7A9F6}"/>
    <cellStyle name="Monétaire [0]_Annex comb guideline 4-7" xfId="71" xr:uid="{273210B1-F950-4A96-B295-A01AB7317EF0}"/>
    <cellStyle name="Monétaire_Annex_comb_guideline_version4-2" xfId="72" xr:uid="{A23232F7-02ED-402D-8761-B7043C9A1021}"/>
    <cellStyle name="Neutral" xfId="10" builtinId="28" customBuiltin="1"/>
    <cellStyle name="Normal" xfId="0" builtinId="0"/>
    <cellStyle name="Normal - Style1" xfId="73" xr:uid="{39EF15B1-E7AE-4C36-AE96-DF2D50CE5CF5}"/>
    <cellStyle name="Normal 10" xfId="89" xr:uid="{A8A4B131-4D33-4047-B367-74ABFCD2A3FD}"/>
    <cellStyle name="Normal 11" xfId="90" xr:uid="{79B7AC51-BF94-4424-8524-BFF8DFCD3453}"/>
    <cellStyle name="Normal 2" xfId="2" xr:uid="{00000000-0005-0000-0000-000003000000}"/>
    <cellStyle name="Normal 2 2" xfId="47" xr:uid="{7F9BAD7A-FE56-49CC-86B9-B0D7961FFC56}"/>
    <cellStyle name="Normal 2 2 2" xfId="6" xr:uid="{B531F7CA-7A64-40F4-8990-2DCC1FCABF07}"/>
    <cellStyle name="Normal 2 2 3" xfId="59" xr:uid="{AE016FBD-8AE5-4F46-A83F-C4742D40AA99}"/>
    <cellStyle name="Normal 2 3" xfId="60" xr:uid="{D0496CC2-12D8-40FA-89EE-B7D9A9378038}"/>
    <cellStyle name="Normal 2 4" xfId="61" xr:uid="{D08207A7-5E76-4D41-9808-65355AEE0A9F}"/>
    <cellStyle name="Normal 3" xfId="3" xr:uid="{3C65A047-E7ED-4B0A-93F0-7264E31D18F1}"/>
    <cellStyle name="Normal 3 2" xfId="84" xr:uid="{27F83593-7179-4BA5-B040-5430579E0682}"/>
    <cellStyle name="Normal 4" xfId="4" xr:uid="{17F44CD4-ADD8-4EAD-9C70-895D82AEF7BD}"/>
    <cellStyle name="Normal 4 2" xfId="53" xr:uid="{EE6227FA-CD35-41C9-97A9-2A973FD175C2}"/>
    <cellStyle name="Normal 4 3" xfId="62" xr:uid="{711E27D0-010F-447C-B396-9263E7D743BC}"/>
    <cellStyle name="Normal 5" xfId="36" xr:uid="{3388D73A-4442-4FA0-8F74-A1AD2CC4D9D9}"/>
    <cellStyle name="Normal 6" xfId="88" xr:uid="{86858B05-61BB-4A06-A468-C3CD695A5D18}"/>
    <cellStyle name="Normal 7" xfId="64" xr:uid="{945BA2AC-F216-4140-B4A6-F4637BC69227}"/>
    <cellStyle name="Normal 8" xfId="86" xr:uid="{E62465D9-4990-4679-BA29-A5E16EC6A60F}"/>
    <cellStyle name="Normal 9" xfId="91" xr:uid="{DDF3CDF1-00F1-4A55-9355-DA94B4FDF0B5}"/>
    <cellStyle name="Note 2" xfId="48" xr:uid="{72E16496-609A-4F21-95E7-99E8BE189C4E}"/>
    <cellStyle name="Note 3" xfId="85" xr:uid="{0785CBFE-259B-486D-A4F3-378499712D7F}"/>
    <cellStyle name="Output 2" xfId="49" xr:uid="{011A6B1B-DF9E-40D5-9FDB-F7F88F8E3E96}"/>
    <cellStyle name="Per cent 2" xfId="5" xr:uid="{407278D6-68D6-479C-A3FD-0AEBA22632E6}"/>
    <cellStyle name="Per cent 3" xfId="75" xr:uid="{E60471C3-9612-4CB3-AADE-86D7E2430A99}"/>
    <cellStyle name="Percent [2]" xfId="74" xr:uid="{14394D44-4253-4EC2-B2B0-8047B26B8408}"/>
    <cellStyle name="Percent 2" xfId="50" xr:uid="{8A8001AC-F9C3-45A2-86EA-B54064D93381}"/>
    <cellStyle name="Selection" xfId="51" xr:uid="{38824FF8-C072-48C5-873C-2BE327A6E807}"/>
    <cellStyle name="Source Hed" xfId="76" xr:uid="{1C0EF31C-0A91-403E-A72D-461EDD6A9006}"/>
    <cellStyle name="Source Text" xfId="77" xr:uid="{DCE24396-BA82-497C-A34A-25D11B50EEF5}"/>
    <cellStyle name="Title-1" xfId="78" xr:uid="{E766D976-9DD9-4F45-9A02-8124B3D0E735}"/>
    <cellStyle name="Title-2" xfId="79" xr:uid="{C280359B-95DA-4243-B68A-61D21C4AAA0B}"/>
    <cellStyle name="Título" xfId="7" builtinId="15" customBuiltin="1"/>
    <cellStyle name="Tusental (0)_pldt" xfId="80" xr:uid="{2D246429-2792-4488-BE83-CCC156DB8738}"/>
    <cellStyle name="Tusental_pldt" xfId="81" xr:uid="{E8390C95-6663-4084-804E-E22154D4DDC2}"/>
    <cellStyle name="Valuta (0)_pldt" xfId="82" xr:uid="{06DE8404-26B5-4101-829B-560B1B13A44E}"/>
    <cellStyle name="Valuta_pldt" xfId="83" xr:uid="{BDF26802-1BE2-40D6-AC2D-9A911ECA76C1}"/>
    <cellStyle name="Warning Text 2" xfId="52" xr:uid="{E64FDBBB-9437-4135-AFC3-2E4B1A42AD8A}"/>
  </cellStyles>
  <dxfs count="17">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ont>
        <color theme="0" tint="-0.34998626667073579"/>
      </font>
      <fill>
        <patternFill patternType="solid">
          <bgColor theme="1" tint="0.499984740745262"/>
        </patternFill>
      </fill>
    </dxf>
    <dxf>
      <font>
        <color theme="0" tint="-0.34998626667073579"/>
      </font>
      <fill>
        <patternFill patternType="solid">
          <bgColor theme="1" tint="0.499984740745262"/>
        </patternFill>
      </fill>
    </dxf>
    <dxf>
      <font>
        <color theme="0" tint="-0.34998626667073579"/>
      </font>
      <fill>
        <patternFill patternType="solid">
          <bgColor theme="1" tint="0.499984740745262"/>
        </patternFill>
      </fill>
    </dxf>
    <dxf>
      <font>
        <color theme="0" tint="-0.34998626667073579"/>
      </font>
      <fill>
        <patternFill patternType="solid">
          <bgColor theme="1" tint="0.499984740745262"/>
        </patternFill>
      </fill>
    </dxf>
    <dxf>
      <font>
        <color theme="0" tint="-0.34998626667073579"/>
      </font>
      <fill>
        <patternFill patternType="solid">
          <bgColor theme="1" tint="0.499984740745262"/>
        </patternFill>
      </fill>
    </dxf>
    <dxf>
      <font>
        <color theme="0" tint="-0.34998626667073579"/>
      </font>
      <fill>
        <patternFill patternType="solid">
          <bgColor theme="1" tint="0.499984740745262"/>
        </patternFill>
      </fill>
    </dxf>
    <dxf>
      <font>
        <color theme="0" tint="-0.34998626667073579"/>
      </font>
      <fill>
        <patternFill patternType="solid">
          <bgColor theme="1" tint="0.499984740745262"/>
        </patternFill>
      </fill>
    </dxf>
  </dxfs>
  <tableStyles count="0" defaultTableStyle="TableStyleMedium9" defaultPivotStyle="PivotStyleLight16"/>
  <colors>
    <mruColors>
      <color rgb="FFC5D9F1"/>
      <color rgb="FF276EC3"/>
      <color rgb="FFEDEDED"/>
      <color rgb="FF6CEE85"/>
      <color rgb="FFFF5B5C"/>
      <color rgb="FFFAFCF5"/>
      <color rgb="FFE3FFD1"/>
      <color rgb="FFFFFFCC"/>
      <color rgb="FFFAFAF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1.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https://gdo.cnmc.es/CNE/accesoEtiquetado.do" TargetMode="Externa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B7B9E-77CF-4EF9-9BB7-71D408853F46}">
  <dimension ref="B2:S59"/>
  <sheetViews>
    <sheetView zoomScale="80" zoomScaleNormal="80" workbookViewId="0">
      <selection activeCell="C19" sqref="C19:J19"/>
    </sheetView>
  </sheetViews>
  <sheetFormatPr baseColWidth="10" defaultColWidth="9.109375" defaultRowHeight="15" customHeight="1" x14ac:dyDescent="0.3"/>
  <cols>
    <col min="1" max="1" width="9.109375" style="169"/>
    <col min="2" max="2" width="3.5546875" style="169" customWidth="1"/>
    <col min="3" max="3" width="51.33203125" style="169" customWidth="1"/>
    <col min="4" max="4" width="30.44140625" style="169" customWidth="1"/>
    <col min="5" max="18" width="9.109375" style="169"/>
    <col min="19" max="19" width="2.5546875" style="169" customWidth="1"/>
    <col min="20" max="16384" width="9.109375" style="169"/>
  </cols>
  <sheetData>
    <row r="2" spans="2:19" ht="15" customHeight="1" x14ac:dyDescent="0.3">
      <c r="B2" s="172"/>
      <c r="C2" s="172"/>
      <c r="D2" s="172"/>
      <c r="E2" s="172"/>
      <c r="F2" s="172"/>
      <c r="G2" s="172"/>
      <c r="H2" s="172"/>
      <c r="I2" s="172"/>
      <c r="J2" s="172"/>
      <c r="K2" s="172"/>
      <c r="L2" s="172"/>
      <c r="M2" s="172"/>
      <c r="N2" s="172"/>
      <c r="O2" s="172"/>
      <c r="P2" s="172"/>
      <c r="Q2" s="172"/>
      <c r="R2" s="172"/>
      <c r="S2" s="172"/>
    </row>
    <row r="3" spans="2:19" ht="28.2" customHeight="1" x14ac:dyDescent="0.3">
      <c r="B3" s="172"/>
      <c r="C3" s="204" t="e" vm="1">
        <v>#VALUE!</v>
      </c>
      <c r="D3" s="204"/>
      <c r="E3" s="204"/>
      <c r="F3" s="204"/>
      <c r="G3" s="204"/>
      <c r="H3" s="204"/>
      <c r="I3" s="204"/>
      <c r="J3" s="204"/>
      <c r="K3" s="204"/>
      <c r="L3" s="204"/>
      <c r="M3" s="204"/>
      <c r="N3" s="204"/>
      <c r="O3" s="204"/>
      <c r="P3" s="204"/>
      <c r="Q3" s="204"/>
      <c r="R3" s="204"/>
      <c r="S3" s="172"/>
    </row>
    <row r="4" spans="2:19" ht="18" customHeight="1" x14ac:dyDescent="0.3">
      <c r="B4" s="172"/>
      <c r="C4" s="204"/>
      <c r="D4" s="204"/>
      <c r="E4" s="204"/>
      <c r="F4" s="204"/>
      <c r="G4" s="204"/>
      <c r="H4" s="204"/>
      <c r="I4" s="204"/>
      <c r="J4" s="204"/>
      <c r="K4" s="204"/>
      <c r="L4" s="204"/>
      <c r="M4" s="204"/>
      <c r="N4" s="204"/>
      <c r="O4" s="204"/>
      <c r="P4" s="204"/>
      <c r="Q4" s="204"/>
      <c r="R4" s="204"/>
      <c r="S4" s="172"/>
    </row>
    <row r="5" spans="2:19" ht="30" customHeight="1" x14ac:dyDescent="0.3">
      <c r="B5" s="172"/>
      <c r="C5" s="203" t="s">
        <v>725</v>
      </c>
      <c r="D5" s="203"/>
      <c r="E5" s="203"/>
      <c r="F5" s="203"/>
      <c r="G5" s="203"/>
      <c r="H5" s="203"/>
      <c r="I5" s="203"/>
      <c r="J5" s="203"/>
      <c r="K5" s="203"/>
      <c r="L5" s="203"/>
      <c r="M5" s="203"/>
      <c r="N5" s="203"/>
      <c r="O5" s="203"/>
      <c r="P5" s="203"/>
      <c r="Q5" s="203"/>
      <c r="R5" s="203"/>
      <c r="S5" s="172"/>
    </row>
    <row r="6" spans="2:19" ht="15" customHeight="1" x14ac:dyDescent="0.7">
      <c r="B6" s="172"/>
      <c r="C6" s="206"/>
      <c r="D6" s="206"/>
      <c r="E6" s="206"/>
      <c r="F6" s="206"/>
      <c r="G6" s="206"/>
      <c r="H6" s="206"/>
      <c r="I6" s="206"/>
      <c r="J6" s="206"/>
      <c r="K6" s="206"/>
      <c r="L6" s="206"/>
      <c r="M6" s="206"/>
      <c r="N6" s="206"/>
      <c r="O6" s="206"/>
      <c r="P6" s="206"/>
      <c r="Q6" s="206"/>
      <c r="R6" s="206"/>
      <c r="S6" s="172"/>
    </row>
    <row r="7" spans="2:19" ht="15.75" customHeight="1" x14ac:dyDescent="0.55000000000000004">
      <c r="B7" s="1"/>
      <c r="C7" s="173"/>
      <c r="D7" s="1"/>
      <c r="E7" s="1"/>
      <c r="F7" s="1"/>
      <c r="G7" s="1"/>
      <c r="H7" s="1"/>
      <c r="I7" s="1"/>
      <c r="J7" s="1"/>
      <c r="K7" s="1"/>
      <c r="L7" s="1"/>
      <c r="M7" s="1"/>
      <c r="N7" s="1"/>
      <c r="O7" s="1"/>
      <c r="P7" s="1"/>
      <c r="Q7" s="1"/>
      <c r="R7" s="1"/>
      <c r="S7" s="1"/>
    </row>
    <row r="8" spans="2:19" ht="15.75" customHeight="1" x14ac:dyDescent="0.55000000000000004">
      <c r="B8" s="1"/>
      <c r="C8" s="173"/>
      <c r="D8" s="1"/>
      <c r="E8" s="1"/>
      <c r="F8" s="1"/>
      <c r="G8" s="1"/>
      <c r="H8" s="1"/>
      <c r="I8" s="1"/>
      <c r="J8" s="1"/>
      <c r="K8" s="1"/>
      <c r="L8" s="1"/>
      <c r="M8" s="1"/>
      <c r="N8" s="1"/>
      <c r="O8" s="1"/>
      <c r="P8" s="1"/>
      <c r="Q8" s="1"/>
      <c r="R8" s="1"/>
      <c r="S8" s="1"/>
    </row>
    <row r="9" spans="2:19" ht="15" customHeight="1" x14ac:dyDescent="0.55000000000000004">
      <c r="B9" s="172"/>
      <c r="C9" s="174"/>
      <c r="D9" s="172"/>
      <c r="E9" s="172"/>
      <c r="F9" s="172"/>
      <c r="G9" s="172"/>
      <c r="H9" s="172"/>
      <c r="I9" s="172"/>
      <c r="J9" s="172"/>
      <c r="K9" s="172"/>
      <c r="L9" s="172"/>
      <c r="M9" s="172"/>
      <c r="N9" s="172"/>
      <c r="O9" s="172"/>
      <c r="P9" s="172"/>
      <c r="Q9" s="172"/>
      <c r="R9" s="172"/>
      <c r="S9" s="172"/>
    </row>
    <row r="10" spans="2:19" ht="64.8" customHeight="1" x14ac:dyDescent="0.3">
      <c r="B10" s="172"/>
      <c r="C10" s="205" t="s">
        <v>0</v>
      </c>
      <c r="D10" s="205"/>
      <c r="E10" s="205"/>
      <c r="F10" s="205"/>
      <c r="G10" s="205"/>
      <c r="H10" s="205"/>
      <c r="I10" s="205"/>
      <c r="J10" s="205"/>
      <c r="K10" s="205"/>
      <c r="L10" s="205"/>
      <c r="M10" s="205"/>
      <c r="N10" s="205"/>
      <c r="O10" s="205"/>
      <c r="P10" s="205"/>
      <c r="Q10" s="205"/>
      <c r="R10" s="205"/>
      <c r="S10" s="172"/>
    </row>
    <row r="11" spans="2:19" ht="15" customHeight="1" x14ac:dyDescent="0.3">
      <c r="B11" s="172"/>
      <c r="C11" s="175"/>
      <c r="D11" s="175"/>
      <c r="E11" s="175"/>
      <c r="F11" s="175"/>
      <c r="G11" s="175"/>
      <c r="H11" s="175"/>
      <c r="I11" s="175"/>
      <c r="J11" s="175"/>
      <c r="K11" s="175"/>
      <c r="L11" s="175"/>
      <c r="M11" s="175"/>
      <c r="N11" s="175"/>
      <c r="O11" s="175"/>
      <c r="P11" s="175"/>
      <c r="Q11" s="175"/>
      <c r="R11" s="175"/>
      <c r="S11" s="172"/>
    </row>
    <row r="12" spans="2:19" ht="15" customHeight="1" x14ac:dyDescent="0.3">
      <c r="B12" s="1"/>
      <c r="C12" s="176"/>
      <c r="D12" s="176"/>
      <c r="E12" s="176"/>
      <c r="F12" s="176"/>
      <c r="G12" s="176"/>
      <c r="H12" s="176"/>
      <c r="I12" s="176"/>
      <c r="J12" s="176"/>
      <c r="K12" s="176"/>
      <c r="L12" s="176"/>
      <c r="M12" s="176"/>
      <c r="N12" s="176"/>
      <c r="O12" s="176"/>
      <c r="P12" s="176"/>
      <c r="Q12" s="176"/>
      <c r="R12" s="176"/>
      <c r="S12" s="1"/>
    </row>
    <row r="13" spans="2:19" ht="15.6" x14ac:dyDescent="0.3">
      <c r="B13" s="1"/>
      <c r="C13" s="176"/>
      <c r="D13" s="176"/>
      <c r="E13" s="176"/>
      <c r="F13" s="176"/>
      <c r="G13" s="176"/>
      <c r="H13" s="176"/>
      <c r="I13" s="176"/>
      <c r="J13" s="176"/>
      <c r="K13" s="176"/>
      <c r="L13" s="176"/>
      <c r="M13" s="176"/>
      <c r="N13" s="176"/>
      <c r="O13" s="176"/>
      <c r="P13" s="176"/>
      <c r="Q13" s="176"/>
      <c r="R13" s="176"/>
      <c r="S13" s="1"/>
    </row>
    <row r="14" spans="2:19" ht="21" customHeight="1" x14ac:dyDescent="0.4">
      <c r="B14" s="1"/>
      <c r="C14" s="207" t="s">
        <v>1</v>
      </c>
      <c r="D14" s="207"/>
      <c r="E14" s="207"/>
      <c r="F14" s="207"/>
      <c r="G14" s="207"/>
      <c r="H14" s="207"/>
      <c r="I14" s="207"/>
      <c r="J14" s="207"/>
      <c r="K14" s="207"/>
      <c r="L14" s="207"/>
      <c r="M14" s="207"/>
      <c r="N14" s="207"/>
      <c r="O14" s="207"/>
      <c r="P14" s="207"/>
      <c r="Q14" s="207"/>
      <c r="R14" s="207"/>
      <c r="S14" s="207"/>
    </row>
    <row r="15" spans="2:19" ht="10.5" customHeight="1" x14ac:dyDescent="0.3">
      <c r="B15" s="1"/>
      <c r="C15" s="177"/>
      <c r="D15" s="177"/>
      <c r="E15" s="1"/>
      <c r="F15" s="1"/>
      <c r="G15" s="1"/>
      <c r="H15" s="1"/>
      <c r="I15" s="1"/>
      <c r="J15" s="1"/>
      <c r="K15" s="1"/>
      <c r="L15" s="1"/>
      <c r="M15" s="1"/>
      <c r="N15" s="1"/>
      <c r="O15" s="1"/>
      <c r="P15" s="1"/>
      <c r="Q15" s="1"/>
      <c r="R15" s="1"/>
      <c r="S15" s="1"/>
    </row>
    <row r="16" spans="2:19" ht="14.4" x14ac:dyDescent="0.3">
      <c r="B16" s="1"/>
      <c r="C16" s="208" t="s">
        <v>2</v>
      </c>
      <c r="D16" s="208"/>
      <c r="E16" s="208"/>
      <c r="F16" s="208"/>
      <c r="G16" s="208"/>
      <c r="H16" s="208"/>
      <c r="I16" s="208"/>
      <c r="J16" s="208"/>
      <c r="K16" s="1"/>
      <c r="L16" s="1"/>
      <c r="M16" s="1"/>
      <c r="N16" s="1"/>
      <c r="O16" s="1"/>
      <c r="P16" s="1"/>
      <c r="Q16" s="1"/>
      <c r="R16" s="1"/>
      <c r="S16" s="1"/>
    </row>
    <row r="17" spans="2:19" ht="14.4" x14ac:dyDescent="0.3">
      <c r="B17" s="1"/>
      <c r="C17" s="208" t="s">
        <v>3</v>
      </c>
      <c r="D17" s="208"/>
      <c r="E17" s="208"/>
      <c r="F17" s="208"/>
      <c r="G17" s="208"/>
      <c r="H17" s="208"/>
      <c r="I17" s="208"/>
      <c r="J17" s="208"/>
      <c r="K17" s="1"/>
      <c r="L17" s="1"/>
      <c r="M17" s="1"/>
      <c r="N17" s="1"/>
      <c r="O17" s="1"/>
      <c r="P17" s="1"/>
      <c r="Q17" s="1"/>
      <c r="R17" s="1"/>
      <c r="S17" s="1"/>
    </row>
    <row r="18" spans="2:19" ht="14.4" x14ac:dyDescent="0.3">
      <c r="B18" s="1"/>
      <c r="C18" s="209" t="s">
        <v>4</v>
      </c>
      <c r="D18" s="209"/>
      <c r="E18" s="209"/>
      <c r="F18" s="209"/>
      <c r="G18" s="209"/>
      <c r="H18" s="209"/>
      <c r="I18" s="209"/>
      <c r="J18" s="209"/>
      <c r="K18" s="1"/>
      <c r="L18" s="1"/>
      <c r="M18" s="1"/>
      <c r="N18" s="1"/>
      <c r="O18" s="1"/>
      <c r="P18" s="1"/>
      <c r="Q18" s="1"/>
      <c r="R18" s="1"/>
      <c r="S18" s="1"/>
    </row>
    <row r="19" spans="2:19" ht="14.4" x14ac:dyDescent="0.3">
      <c r="B19" s="1"/>
      <c r="C19" s="209" t="s">
        <v>5</v>
      </c>
      <c r="D19" s="209"/>
      <c r="E19" s="209"/>
      <c r="F19" s="209"/>
      <c r="G19" s="209"/>
      <c r="H19" s="209"/>
      <c r="I19" s="209"/>
      <c r="J19" s="209"/>
      <c r="K19" s="1"/>
      <c r="L19" s="1"/>
      <c r="M19" s="1"/>
      <c r="N19" s="1"/>
      <c r="O19" s="1"/>
      <c r="P19" s="1"/>
      <c r="Q19" s="1"/>
      <c r="R19" s="1"/>
      <c r="S19" s="1"/>
    </row>
    <row r="20" spans="2:19" ht="14.4" x14ac:dyDescent="0.3">
      <c r="B20" s="1"/>
      <c r="C20" s="209" t="s">
        <v>6</v>
      </c>
      <c r="D20" s="209"/>
      <c r="E20" s="209"/>
      <c r="F20" s="209"/>
      <c r="G20" s="209"/>
      <c r="H20" s="209"/>
      <c r="I20" s="209"/>
      <c r="J20" s="209"/>
      <c r="K20" s="1"/>
      <c r="L20" s="1"/>
      <c r="M20" s="1"/>
      <c r="N20" s="1"/>
      <c r="O20" s="1"/>
      <c r="P20" s="1"/>
      <c r="Q20" s="1"/>
      <c r="R20" s="1"/>
      <c r="S20" s="1"/>
    </row>
    <row r="21" spans="2:19" ht="14.4" x14ac:dyDescent="0.3">
      <c r="B21" s="1"/>
      <c r="C21" s="209" t="s">
        <v>7</v>
      </c>
      <c r="D21" s="209"/>
      <c r="E21" s="209"/>
      <c r="F21" s="209"/>
      <c r="G21" s="209"/>
      <c r="H21" s="209"/>
      <c r="I21" s="209"/>
      <c r="J21" s="209"/>
      <c r="K21" s="1"/>
      <c r="L21" s="1"/>
      <c r="M21" s="1"/>
      <c r="N21" s="1"/>
      <c r="O21" s="1"/>
      <c r="P21" s="1"/>
      <c r="Q21" s="1"/>
      <c r="R21" s="1"/>
      <c r="S21" s="1"/>
    </row>
    <row r="22" spans="2:19" ht="14.4" x14ac:dyDescent="0.3">
      <c r="B22" s="1"/>
      <c r="C22" s="209" t="s">
        <v>8</v>
      </c>
      <c r="D22" s="209"/>
      <c r="E22" s="209"/>
      <c r="F22" s="209"/>
      <c r="G22" s="209"/>
      <c r="H22" s="209"/>
      <c r="I22" s="209"/>
      <c r="J22" s="209"/>
      <c r="K22" s="1"/>
      <c r="L22" s="1"/>
      <c r="M22" s="1"/>
      <c r="N22" s="1"/>
      <c r="O22" s="1"/>
      <c r="P22" s="1"/>
      <c r="Q22" s="1"/>
      <c r="R22" s="1"/>
      <c r="S22" s="1"/>
    </row>
    <row r="23" spans="2:19" ht="14.4" x14ac:dyDescent="0.3">
      <c r="B23" s="1"/>
      <c r="C23" s="209" t="s">
        <v>9</v>
      </c>
      <c r="D23" s="209"/>
      <c r="E23" s="209"/>
      <c r="F23" s="209"/>
      <c r="G23" s="209"/>
      <c r="H23" s="209"/>
      <c r="I23" s="209"/>
      <c r="J23" s="209"/>
      <c r="K23" s="1"/>
      <c r="L23" s="1"/>
      <c r="M23" s="1"/>
      <c r="N23" s="1"/>
      <c r="O23" s="1"/>
      <c r="P23" s="1"/>
      <c r="Q23" s="1"/>
      <c r="R23" s="1"/>
      <c r="S23" s="1"/>
    </row>
    <row r="24" spans="2:19" ht="14.4" x14ac:dyDescent="0.3">
      <c r="B24" s="1"/>
      <c r="C24" s="209" t="s">
        <v>10</v>
      </c>
      <c r="D24" s="209"/>
      <c r="E24" s="209"/>
      <c r="F24" s="209"/>
      <c r="G24" s="209"/>
      <c r="H24" s="209"/>
      <c r="I24" s="209"/>
      <c r="J24" s="209"/>
      <c r="K24" s="1"/>
      <c r="L24" s="1"/>
      <c r="M24" s="1"/>
      <c r="N24" s="1"/>
      <c r="O24" s="1"/>
      <c r="P24" s="1"/>
      <c r="Q24" s="1"/>
      <c r="R24" s="1"/>
      <c r="S24" s="1"/>
    </row>
    <row r="25" spans="2:19" ht="14.4" x14ac:dyDescent="0.3">
      <c r="B25" s="1"/>
      <c r="C25" s="1"/>
      <c r="D25" s="1"/>
      <c r="E25" s="1"/>
      <c r="F25" s="1"/>
      <c r="G25" s="1"/>
      <c r="H25" s="1"/>
      <c r="I25" s="1"/>
      <c r="J25" s="1"/>
      <c r="K25" s="1"/>
      <c r="L25" s="1"/>
      <c r="M25" s="1"/>
      <c r="N25" s="1"/>
      <c r="O25" s="1"/>
      <c r="P25" s="1"/>
      <c r="Q25" s="1"/>
      <c r="R25" s="1"/>
      <c r="S25" s="1"/>
    </row>
    <row r="26" spans="2:19" ht="14.4" x14ac:dyDescent="0.3">
      <c r="B26" s="1"/>
      <c r="C26" s="1" t="s">
        <v>11</v>
      </c>
      <c r="D26" s="1"/>
      <c r="E26" s="1"/>
      <c r="F26" s="1"/>
      <c r="G26" s="1"/>
      <c r="H26" s="1"/>
      <c r="I26" s="1"/>
      <c r="J26" s="1"/>
      <c r="K26" s="1"/>
      <c r="L26" s="1"/>
      <c r="M26" s="1"/>
      <c r="N26" s="1"/>
      <c r="O26" s="1"/>
      <c r="P26" s="1"/>
      <c r="Q26" s="1"/>
      <c r="R26" s="1"/>
      <c r="S26" s="1"/>
    </row>
    <row r="27" spans="2:19" ht="14.4" x14ac:dyDescent="0.3">
      <c r="B27" s="1"/>
      <c r="C27" s="1"/>
      <c r="D27" s="1"/>
      <c r="E27" s="1"/>
      <c r="F27" s="1"/>
      <c r="G27" s="1"/>
      <c r="H27" s="1"/>
      <c r="I27" s="1"/>
      <c r="J27" s="1"/>
      <c r="K27" s="1"/>
      <c r="L27" s="1"/>
      <c r="M27" s="1"/>
      <c r="N27" s="1"/>
      <c r="O27" s="1"/>
      <c r="P27" s="1"/>
      <c r="Q27" s="1"/>
      <c r="R27" s="1"/>
      <c r="S27" s="1"/>
    </row>
    <row r="28" spans="2:19" ht="14.4" x14ac:dyDescent="0.3">
      <c r="B28" s="1"/>
      <c r="C28" s="178" t="s">
        <v>12</v>
      </c>
      <c r="D28" s="1"/>
      <c r="E28" s="1"/>
      <c r="F28" s="1"/>
      <c r="G28" s="1"/>
      <c r="H28" s="1"/>
      <c r="I28" s="1"/>
      <c r="J28" s="1"/>
      <c r="K28" s="1"/>
      <c r="L28" s="1"/>
      <c r="M28" s="1"/>
      <c r="N28" s="1"/>
      <c r="O28" s="1"/>
      <c r="P28" s="1"/>
      <c r="Q28" s="1"/>
      <c r="R28" s="1"/>
      <c r="S28" s="1"/>
    </row>
    <row r="29" spans="2:19" ht="16.2" customHeight="1" x14ac:dyDescent="0.3">
      <c r="B29" s="1"/>
      <c r="C29" s="178" t="s">
        <v>13</v>
      </c>
      <c r="D29" s="179"/>
      <c r="E29" s="179"/>
      <c r="F29" s="179"/>
      <c r="G29" s="179"/>
      <c r="H29" s="179"/>
      <c r="I29" s="179"/>
      <c r="J29" s="179"/>
      <c r="K29" s="179"/>
      <c r="L29" s="179"/>
      <c r="M29" s="179"/>
      <c r="N29" s="179"/>
      <c r="O29" s="179"/>
      <c r="P29" s="179"/>
      <c r="Q29" s="179"/>
      <c r="R29" s="179"/>
      <c r="S29" s="1"/>
    </row>
    <row r="30" spans="2:19" ht="14.4" x14ac:dyDescent="0.3">
      <c r="B30" s="1"/>
      <c r="C30" s="180"/>
      <c r="D30" s="180"/>
      <c r="E30" s="1"/>
      <c r="F30" s="1"/>
      <c r="G30" s="1"/>
      <c r="H30" s="1"/>
      <c r="I30" s="1"/>
      <c r="J30" s="1"/>
      <c r="K30" s="1"/>
      <c r="L30" s="1"/>
      <c r="M30" s="1"/>
      <c r="N30" s="1"/>
      <c r="O30" s="1"/>
      <c r="P30" s="1"/>
      <c r="Q30" s="1"/>
      <c r="R30" s="1"/>
      <c r="S30" s="1"/>
    </row>
    <row r="31" spans="2:19" ht="18" x14ac:dyDescent="0.35">
      <c r="B31" s="1"/>
      <c r="C31" s="181" t="s">
        <v>14</v>
      </c>
      <c r="D31" s="1"/>
      <c r="E31" s="1"/>
      <c r="F31" s="1"/>
      <c r="G31" s="1"/>
      <c r="H31" s="1"/>
      <c r="I31" s="1"/>
      <c r="J31" s="1"/>
      <c r="K31" s="1"/>
      <c r="L31" s="1"/>
      <c r="M31" s="1"/>
      <c r="N31" s="1"/>
      <c r="O31" s="1"/>
      <c r="P31" s="1"/>
      <c r="Q31" s="1"/>
      <c r="R31" s="1"/>
      <c r="S31" s="1"/>
    </row>
    <row r="32" spans="2:19" ht="14.4" x14ac:dyDescent="0.3">
      <c r="B32" s="1"/>
      <c r="C32" s="1"/>
      <c r="D32" s="1"/>
      <c r="E32" s="1"/>
      <c r="F32" s="1"/>
      <c r="G32" s="1"/>
      <c r="H32" s="1"/>
      <c r="I32" s="1"/>
      <c r="J32" s="1"/>
      <c r="K32" s="1"/>
      <c r="L32" s="1"/>
      <c r="M32" s="1"/>
      <c r="N32" s="1"/>
      <c r="O32" s="1"/>
      <c r="P32" s="1"/>
      <c r="Q32" s="1"/>
      <c r="R32" s="1"/>
      <c r="S32" s="1"/>
    </row>
    <row r="33" spans="2:19" ht="15.6" x14ac:dyDescent="0.3">
      <c r="B33" s="1"/>
      <c r="C33" s="182" t="s">
        <v>15</v>
      </c>
      <c r="D33" s="19"/>
      <c r="E33" s="1"/>
      <c r="F33" s="1"/>
      <c r="G33" s="1"/>
      <c r="H33" s="1"/>
      <c r="I33" s="1"/>
      <c r="J33" s="1"/>
      <c r="K33" s="1"/>
      <c r="L33" s="1"/>
      <c r="M33" s="1"/>
      <c r="N33" s="1"/>
      <c r="O33" s="1"/>
      <c r="P33" s="1"/>
      <c r="Q33" s="1"/>
      <c r="R33" s="1"/>
      <c r="S33" s="1"/>
    </row>
    <row r="34" spans="2:19" ht="14.4" x14ac:dyDescent="0.3">
      <c r="B34" s="1"/>
      <c r="C34" s="1" t="s">
        <v>16</v>
      </c>
      <c r="D34" s="1" t="s">
        <v>17</v>
      </c>
      <c r="E34" s="1"/>
      <c r="F34" s="1"/>
      <c r="G34" s="1"/>
      <c r="H34" s="1"/>
      <c r="I34" s="1"/>
      <c r="J34" s="1"/>
      <c r="K34" s="1"/>
      <c r="L34" s="1"/>
      <c r="M34" s="1"/>
      <c r="N34" s="1"/>
      <c r="O34" s="1"/>
      <c r="P34" s="1"/>
      <c r="Q34" s="1"/>
      <c r="R34" s="1"/>
      <c r="S34" s="1"/>
    </row>
    <row r="35" spans="2:19" ht="14.4" customHeight="1" x14ac:dyDescent="0.3">
      <c r="B35" s="1"/>
      <c r="C35" s="1" t="s">
        <v>18</v>
      </c>
      <c r="D35" s="1" t="s">
        <v>19</v>
      </c>
      <c r="E35" s="180"/>
      <c r="F35" s="180"/>
      <c r="G35" s="180"/>
      <c r="H35" s="180"/>
      <c r="I35" s="180"/>
      <c r="J35" s="180"/>
      <c r="K35" s="180"/>
      <c r="L35" s="180"/>
      <c r="M35" s="180"/>
      <c r="N35" s="180"/>
      <c r="O35" s="180"/>
      <c r="P35" s="180"/>
      <c r="Q35" s="180"/>
      <c r="R35" s="180"/>
      <c r="S35" s="1"/>
    </row>
    <row r="36" spans="2:19" ht="14.4" x14ac:dyDescent="0.3">
      <c r="B36" s="1"/>
      <c r="C36" s="1" t="s">
        <v>20</v>
      </c>
      <c r="D36" s="1" t="s">
        <v>21</v>
      </c>
      <c r="E36" s="180"/>
      <c r="F36" s="180"/>
      <c r="G36" s="180"/>
      <c r="H36" s="180"/>
      <c r="I36" s="180"/>
      <c r="J36" s="180"/>
      <c r="K36" s="180"/>
      <c r="L36" s="180"/>
      <c r="M36" s="180"/>
      <c r="N36" s="180"/>
      <c r="O36" s="180"/>
      <c r="P36" s="180"/>
      <c r="Q36" s="180"/>
      <c r="R36" s="180"/>
      <c r="S36" s="1"/>
    </row>
    <row r="37" spans="2:19" ht="14.4" x14ac:dyDescent="0.3">
      <c r="B37" s="1"/>
      <c r="C37" s="1" t="s">
        <v>22</v>
      </c>
      <c r="D37" s="1" t="s">
        <v>23</v>
      </c>
      <c r="E37" s="1"/>
      <c r="F37" s="1"/>
      <c r="G37" s="1"/>
      <c r="H37" s="1"/>
      <c r="I37" s="1"/>
      <c r="J37" s="1"/>
      <c r="K37" s="1"/>
      <c r="L37" s="1"/>
      <c r="M37" s="1"/>
      <c r="N37" s="1"/>
      <c r="O37" s="1"/>
      <c r="P37" s="1"/>
      <c r="Q37" s="1"/>
      <c r="R37" s="1"/>
      <c r="S37" s="1"/>
    </row>
    <row r="38" spans="2:19" ht="14.4" x14ac:dyDescent="0.3">
      <c r="B38" s="1"/>
      <c r="C38" s="1" t="s">
        <v>24</v>
      </c>
      <c r="D38" s="1" t="s">
        <v>25</v>
      </c>
      <c r="E38" s="1"/>
      <c r="F38" s="1"/>
      <c r="G38" s="1"/>
      <c r="H38" s="1"/>
      <c r="I38" s="1"/>
      <c r="J38" s="1"/>
      <c r="K38" s="1"/>
      <c r="L38" s="1"/>
      <c r="M38" s="1"/>
      <c r="N38" s="1"/>
      <c r="O38" s="1"/>
      <c r="P38" s="1"/>
      <c r="Q38" s="1"/>
      <c r="R38" s="1"/>
      <c r="S38" s="1"/>
    </row>
    <row r="39" spans="2:19" ht="14.4" x14ac:dyDescent="0.3">
      <c r="B39" s="1"/>
      <c r="C39" s="1"/>
      <c r="D39" s="1"/>
      <c r="E39" s="1"/>
      <c r="F39" s="1"/>
      <c r="G39" s="1"/>
      <c r="H39" s="1"/>
      <c r="I39" s="1"/>
      <c r="J39" s="1"/>
      <c r="K39" s="1"/>
      <c r="L39" s="1"/>
      <c r="M39" s="1"/>
      <c r="N39" s="1"/>
      <c r="O39" s="1"/>
      <c r="P39" s="1"/>
      <c r="Q39" s="1"/>
      <c r="R39" s="1"/>
      <c r="S39" s="1"/>
    </row>
    <row r="40" spans="2:19" ht="15.6" x14ac:dyDescent="0.3">
      <c r="B40" s="1"/>
      <c r="C40" s="182" t="s">
        <v>26</v>
      </c>
      <c r="D40" s="1" t="s">
        <v>27</v>
      </c>
      <c r="E40" s="1"/>
      <c r="F40" s="1"/>
      <c r="G40" s="1"/>
      <c r="H40" s="1"/>
      <c r="I40" s="1"/>
      <c r="J40" s="1"/>
      <c r="K40" s="1"/>
      <c r="L40" s="1"/>
      <c r="M40" s="1"/>
      <c r="N40" s="1"/>
      <c r="O40" s="1"/>
      <c r="P40" s="1"/>
      <c r="Q40" s="1"/>
      <c r="R40" s="1"/>
      <c r="S40" s="1"/>
    </row>
    <row r="41" spans="2:19" ht="15.6" x14ac:dyDescent="0.3">
      <c r="B41" s="1"/>
      <c r="C41" s="182" t="s">
        <v>28</v>
      </c>
      <c r="D41" s="1" t="s">
        <v>29</v>
      </c>
      <c r="E41" s="1"/>
      <c r="F41" s="1"/>
      <c r="G41" s="1"/>
      <c r="H41" s="1"/>
      <c r="I41" s="1"/>
      <c r="J41" s="1"/>
      <c r="K41" s="1"/>
      <c r="L41" s="1"/>
      <c r="M41" s="1"/>
      <c r="N41" s="1"/>
      <c r="O41" s="1"/>
      <c r="P41" s="1"/>
      <c r="Q41" s="1"/>
      <c r="R41" s="1"/>
      <c r="S41" s="1"/>
    </row>
    <row r="42" spans="2:19" ht="15.6" x14ac:dyDescent="0.3">
      <c r="B42" s="1"/>
      <c r="C42" s="182" t="s">
        <v>30</v>
      </c>
      <c r="D42" s="1" t="s">
        <v>31</v>
      </c>
      <c r="E42" s="1"/>
      <c r="F42" s="1"/>
      <c r="G42" s="1"/>
      <c r="H42" s="1"/>
      <c r="I42" s="1"/>
      <c r="J42" s="1"/>
      <c r="K42" s="1"/>
      <c r="L42" s="1"/>
      <c r="M42" s="1"/>
      <c r="N42" s="1"/>
      <c r="O42" s="1"/>
      <c r="P42" s="1"/>
      <c r="Q42" s="1"/>
      <c r="R42" s="1"/>
      <c r="S42" s="1"/>
    </row>
    <row r="43" spans="2:19" ht="15.6" x14ac:dyDescent="0.3">
      <c r="B43" s="1"/>
      <c r="C43" s="182" t="s">
        <v>32</v>
      </c>
      <c r="D43" s="1" t="s">
        <v>33</v>
      </c>
      <c r="E43" s="1"/>
      <c r="F43" s="1"/>
      <c r="G43" s="1"/>
      <c r="H43" s="1"/>
      <c r="I43" s="1"/>
      <c r="J43" s="1"/>
      <c r="K43" s="1"/>
      <c r="L43" s="1"/>
      <c r="M43" s="1"/>
      <c r="N43" s="1"/>
      <c r="O43" s="1"/>
      <c r="P43" s="1"/>
      <c r="Q43" s="1"/>
      <c r="R43" s="1"/>
      <c r="S43" s="1"/>
    </row>
    <row r="44" spans="2:19" ht="14.4" x14ac:dyDescent="0.3">
      <c r="B44" s="1"/>
      <c r="C44" s="183"/>
      <c r="D44" s="1"/>
      <c r="E44" s="1"/>
      <c r="F44" s="1"/>
      <c r="G44" s="1"/>
      <c r="H44" s="1"/>
      <c r="I44" s="1"/>
      <c r="J44" s="1"/>
      <c r="K44" s="1"/>
      <c r="L44" s="1"/>
      <c r="M44" s="1"/>
      <c r="N44" s="1"/>
      <c r="O44" s="1"/>
      <c r="P44" s="1"/>
      <c r="Q44" s="1"/>
      <c r="R44" s="1"/>
      <c r="S44" s="1"/>
    </row>
    <row r="45" spans="2:19" ht="15.6" x14ac:dyDescent="0.3">
      <c r="B45" s="1"/>
      <c r="C45" s="182" t="s">
        <v>34</v>
      </c>
      <c r="D45" s="1" t="s">
        <v>35</v>
      </c>
      <c r="E45" s="1"/>
      <c r="F45" s="1"/>
      <c r="G45" s="1"/>
      <c r="H45" s="1"/>
      <c r="I45" s="1"/>
      <c r="J45" s="1"/>
      <c r="K45" s="1"/>
      <c r="L45" s="1"/>
      <c r="M45" s="1"/>
      <c r="N45" s="1"/>
      <c r="O45" s="1"/>
      <c r="P45" s="1"/>
      <c r="Q45" s="1"/>
      <c r="R45" s="1"/>
      <c r="S45" s="1"/>
    </row>
    <row r="46" spans="2:19" ht="14.4" x14ac:dyDescent="0.3">
      <c r="B46" s="1"/>
      <c r="C46" s="183"/>
      <c r="D46" s="1"/>
      <c r="E46" s="1"/>
      <c r="F46" s="1"/>
      <c r="G46" s="1"/>
      <c r="H46" s="1"/>
      <c r="I46" s="1"/>
      <c r="J46" s="1"/>
      <c r="K46" s="1"/>
      <c r="L46" s="1"/>
      <c r="M46" s="1"/>
      <c r="N46" s="1"/>
      <c r="O46" s="1"/>
      <c r="P46" s="1"/>
      <c r="Q46" s="1"/>
      <c r="R46" s="1"/>
      <c r="S46" s="1"/>
    </row>
    <row r="47" spans="2:19" ht="15.6" x14ac:dyDescent="0.3">
      <c r="B47" s="1"/>
      <c r="C47" s="182" t="s">
        <v>36</v>
      </c>
      <c r="D47" s="1" t="s">
        <v>37</v>
      </c>
      <c r="E47" s="1"/>
      <c r="F47" s="1"/>
      <c r="G47" s="1"/>
      <c r="H47" s="1"/>
      <c r="I47" s="1"/>
      <c r="J47" s="1"/>
      <c r="K47" s="1"/>
      <c r="L47" s="1"/>
      <c r="M47" s="1"/>
      <c r="N47" s="1"/>
      <c r="O47" s="1"/>
      <c r="P47" s="1"/>
      <c r="Q47" s="1"/>
      <c r="R47" s="1"/>
      <c r="S47" s="1"/>
    </row>
    <row r="48" spans="2:19" ht="15.6" x14ac:dyDescent="0.3">
      <c r="B48" s="1"/>
      <c r="C48" s="184"/>
      <c r="D48"/>
      <c r="E48" s="1"/>
      <c r="F48" s="1"/>
      <c r="G48" s="1"/>
      <c r="H48" s="1"/>
      <c r="I48" s="1"/>
      <c r="J48" s="1"/>
      <c r="K48" s="1"/>
      <c r="L48" s="1"/>
      <c r="M48" s="1"/>
      <c r="N48" s="1"/>
      <c r="O48" s="1"/>
      <c r="P48" s="1"/>
      <c r="Q48" s="1"/>
      <c r="R48" s="1"/>
      <c r="S48" s="1"/>
    </row>
    <row r="49" spans="2:19" ht="14.4" x14ac:dyDescent="0.3">
      <c r="B49" s="1"/>
      <c r="C49" s="1"/>
      <c r="D49" s="1"/>
      <c r="E49" s="1"/>
      <c r="F49" s="1"/>
      <c r="G49" s="1"/>
      <c r="H49" s="1"/>
      <c r="I49" s="1"/>
      <c r="J49" s="1"/>
      <c r="K49" s="1"/>
      <c r="L49" s="1"/>
      <c r="M49" s="1"/>
      <c r="N49" s="1"/>
      <c r="O49" s="1"/>
      <c r="P49" s="1"/>
      <c r="Q49" s="1"/>
      <c r="R49" s="1"/>
      <c r="S49" s="1"/>
    </row>
    <row r="50" spans="2:19" ht="14.4" x14ac:dyDescent="0.3">
      <c r="B50" s="1"/>
      <c r="C50" s="185" t="s">
        <v>38</v>
      </c>
      <c r="D50" s="1"/>
      <c r="E50" s="1"/>
      <c r="F50" s="1"/>
      <c r="G50" s="1"/>
      <c r="H50" s="1"/>
      <c r="I50" s="1"/>
      <c r="J50" s="1"/>
      <c r="K50" s="1"/>
      <c r="L50" s="1"/>
      <c r="M50" s="1"/>
      <c r="N50" s="1"/>
      <c r="O50" s="1"/>
      <c r="P50" s="1"/>
      <c r="Q50" s="1"/>
      <c r="R50" s="1"/>
      <c r="S50" s="1"/>
    </row>
    <row r="51" spans="2:19" ht="15" customHeight="1" x14ac:dyDescent="0.3">
      <c r="B51" s="1"/>
      <c r="C51" s="1"/>
      <c r="D51" s="1"/>
      <c r="E51" s="1"/>
      <c r="F51" s="1"/>
      <c r="G51" s="1"/>
      <c r="H51" s="1"/>
      <c r="I51" s="1"/>
      <c r="J51" s="1"/>
      <c r="K51" s="1"/>
      <c r="L51" s="1"/>
      <c r="M51" s="1"/>
      <c r="N51" s="1"/>
      <c r="O51" s="1"/>
      <c r="P51" s="1"/>
      <c r="Q51" s="1"/>
      <c r="R51" s="1"/>
      <c r="S51" s="1"/>
    </row>
    <row r="52" spans="2:19" ht="15" customHeight="1" x14ac:dyDescent="0.3">
      <c r="B52" s="1"/>
      <c r="C52" s="1"/>
      <c r="D52" s="1"/>
      <c r="E52" s="1"/>
      <c r="F52" s="1"/>
      <c r="G52" s="1"/>
      <c r="H52" s="1"/>
      <c r="I52" s="1"/>
      <c r="J52" s="1"/>
      <c r="K52" s="1"/>
      <c r="L52" s="1"/>
      <c r="M52" s="1"/>
      <c r="N52" s="1"/>
      <c r="O52" s="1"/>
      <c r="P52" s="1"/>
      <c r="Q52" s="1"/>
      <c r="R52" s="1"/>
      <c r="S52" s="1"/>
    </row>
    <row r="53" spans="2:19" ht="15" customHeight="1" x14ac:dyDescent="0.3">
      <c r="B53" s="1"/>
      <c r="C53" s="1"/>
      <c r="D53" s="1"/>
      <c r="E53" s="1"/>
      <c r="F53" s="1"/>
      <c r="G53" s="1"/>
      <c r="H53" s="1"/>
      <c r="I53" s="1"/>
      <c r="J53" s="1"/>
      <c r="K53" s="1"/>
      <c r="L53" s="1"/>
      <c r="M53" s="1"/>
      <c r="N53" s="1"/>
      <c r="O53" s="1"/>
      <c r="P53" s="1"/>
      <c r="Q53" s="1"/>
      <c r="R53" s="1"/>
      <c r="S53" s="1"/>
    </row>
    <row r="54" spans="2:19" ht="15" customHeight="1" x14ac:dyDescent="0.3">
      <c r="B54" s="1"/>
      <c r="C54" s="1"/>
      <c r="D54" s="1"/>
      <c r="E54" s="1"/>
      <c r="F54" s="1"/>
      <c r="G54" s="1"/>
      <c r="H54" s="1"/>
      <c r="I54" s="1"/>
      <c r="J54" s="1"/>
      <c r="K54" s="1"/>
      <c r="L54" s="1"/>
      <c r="M54" s="1"/>
      <c r="N54" s="1"/>
      <c r="O54" s="1"/>
      <c r="P54" s="1"/>
      <c r="Q54" s="1"/>
      <c r="R54" s="1"/>
      <c r="S54" s="1"/>
    </row>
    <row r="55" spans="2:19" ht="15" customHeight="1" x14ac:dyDescent="0.3">
      <c r="B55" s="172"/>
      <c r="C55" s="172"/>
      <c r="D55" s="172"/>
      <c r="E55" s="172"/>
      <c r="F55" s="172"/>
      <c r="G55" s="172"/>
      <c r="H55" s="172"/>
      <c r="I55" s="172"/>
      <c r="J55" s="172"/>
      <c r="K55" s="172"/>
      <c r="L55" s="172"/>
      <c r="M55" s="172"/>
      <c r="N55" s="172"/>
      <c r="O55" s="172"/>
      <c r="P55" s="172"/>
      <c r="Q55" s="172"/>
      <c r="R55" s="172"/>
      <c r="S55" s="172"/>
    </row>
    <row r="56" spans="2:19" ht="15" customHeight="1" x14ac:dyDescent="0.3">
      <c r="B56" s="172"/>
      <c r="C56" s="202" t="e" vm="2">
        <v>#VALUE!</v>
      </c>
      <c r="D56" s="202"/>
      <c r="E56" s="202"/>
      <c r="F56" s="202"/>
      <c r="G56" s="202"/>
      <c r="H56" s="202"/>
      <c r="I56" s="202"/>
      <c r="J56" s="202"/>
      <c r="K56" s="202"/>
      <c r="L56" s="202"/>
      <c r="M56" s="202"/>
      <c r="N56" s="202"/>
      <c r="O56" s="202"/>
      <c r="P56" s="202"/>
      <c r="Q56" s="202"/>
      <c r="R56" s="202"/>
      <c r="S56" s="172"/>
    </row>
    <row r="57" spans="2:19" ht="15" customHeight="1" x14ac:dyDescent="0.3">
      <c r="B57" s="172"/>
      <c r="C57" s="202"/>
      <c r="D57" s="202"/>
      <c r="E57" s="202"/>
      <c r="F57" s="202"/>
      <c r="G57" s="202"/>
      <c r="H57" s="202"/>
      <c r="I57" s="202"/>
      <c r="J57" s="202"/>
      <c r="K57" s="202"/>
      <c r="L57" s="202"/>
      <c r="M57" s="202"/>
      <c r="N57" s="202"/>
      <c r="O57" s="202"/>
      <c r="P57" s="202"/>
      <c r="Q57" s="202"/>
      <c r="R57" s="202"/>
      <c r="S57" s="172"/>
    </row>
    <row r="58" spans="2:19" ht="15" customHeight="1" x14ac:dyDescent="0.3">
      <c r="B58" s="172"/>
      <c r="C58" s="202"/>
      <c r="D58" s="202"/>
      <c r="E58" s="202"/>
      <c r="F58" s="202"/>
      <c r="G58" s="202"/>
      <c r="H58" s="202"/>
      <c r="I58" s="202"/>
      <c r="J58" s="202"/>
      <c r="K58" s="202"/>
      <c r="L58" s="202"/>
      <c r="M58" s="202"/>
      <c r="N58" s="202"/>
      <c r="O58" s="202"/>
      <c r="P58" s="202"/>
      <c r="Q58" s="202"/>
      <c r="R58" s="202"/>
      <c r="S58" s="172"/>
    </row>
    <row r="59" spans="2:19" ht="15" customHeight="1" x14ac:dyDescent="0.3">
      <c r="B59" s="171"/>
      <c r="C59" s="171"/>
      <c r="D59" s="171"/>
      <c r="E59" s="171"/>
      <c r="F59" s="171"/>
      <c r="G59" s="171"/>
      <c r="H59" s="171"/>
      <c r="I59" s="171"/>
      <c r="J59" s="171"/>
      <c r="K59" s="171"/>
      <c r="L59" s="171"/>
      <c r="M59" s="171"/>
      <c r="N59" s="171"/>
      <c r="O59" s="171"/>
      <c r="P59" s="171"/>
      <c r="Q59" s="171"/>
      <c r="R59" s="171"/>
      <c r="S59" s="171"/>
    </row>
  </sheetData>
  <sheetProtection algorithmName="SHA-512" hashValue="yFOaCcvlXgosgdJRbxGmXTCq7kZbgnhuFZMYlwN/HLxVlfMb5pHnu9KWv85Wi4XhU2o8Oq6C9i+Mi9Zzo8XQaQ==" saltValue="76UPz+CH4aMVa4p1ZfkXzA==" spinCount="100000" sheet="1" objects="1" scenarios="1"/>
  <mergeCells count="16">
    <mergeCell ref="C56:R58"/>
    <mergeCell ref="C5:R5"/>
    <mergeCell ref="C4:R4"/>
    <mergeCell ref="C3:R3"/>
    <mergeCell ref="C10:R10"/>
    <mergeCell ref="C6:R6"/>
    <mergeCell ref="C14:S14"/>
    <mergeCell ref="C16:J16"/>
    <mergeCell ref="C17:J17"/>
    <mergeCell ref="C18:J18"/>
    <mergeCell ref="C19:J19"/>
    <mergeCell ref="C20:J20"/>
    <mergeCell ref="C21:J21"/>
    <mergeCell ref="C22:J22"/>
    <mergeCell ref="C23:J23"/>
    <mergeCell ref="C24:J2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5E576-88F0-4475-A949-118C1DD0A233}">
  <sheetPr>
    <tabColor theme="3" tint="0.39997558519241921"/>
  </sheetPr>
  <dimension ref="B2:X207"/>
  <sheetViews>
    <sheetView topLeftCell="E1" workbookViewId="0">
      <selection activeCell="L31" sqref="L31"/>
    </sheetView>
  </sheetViews>
  <sheetFormatPr baseColWidth="10" defaultColWidth="9.109375" defaultRowHeight="14.4" x14ac:dyDescent="0.3"/>
  <cols>
    <col min="1" max="1" width="9.109375" style="1"/>
    <col min="2" max="2" width="63.33203125" style="1" customWidth="1"/>
    <col min="3" max="4" width="24" style="1" customWidth="1"/>
    <col min="5" max="6" width="9.109375" style="1"/>
    <col min="7" max="7" width="21.6640625" style="1" customWidth="1"/>
    <col min="8" max="8" width="38.5546875" style="1" customWidth="1"/>
    <col min="9" max="9" width="19.6640625" style="1" customWidth="1"/>
    <col min="10" max="16384" width="9.109375" style="1"/>
  </cols>
  <sheetData>
    <row r="2" spans="2:24" ht="15.6" x14ac:dyDescent="0.3">
      <c r="B2" s="109" t="s">
        <v>274</v>
      </c>
      <c r="G2" s="143" t="s">
        <v>275</v>
      </c>
      <c r="H2" s="30"/>
    </row>
    <row r="3" spans="2:24" x14ac:dyDescent="0.3">
      <c r="L3" s="143" t="s">
        <v>276</v>
      </c>
    </row>
    <row r="4" spans="2:24" ht="28.2" customHeight="1" x14ac:dyDescent="0.3">
      <c r="B4" s="37" t="s">
        <v>277</v>
      </c>
      <c r="C4" s="37" t="s">
        <v>278</v>
      </c>
      <c r="D4" s="37" t="s">
        <v>279</v>
      </c>
      <c r="G4" s="39" t="s">
        <v>280</v>
      </c>
      <c r="H4" s="39" t="s">
        <v>281</v>
      </c>
      <c r="I4" s="39" t="s">
        <v>282</v>
      </c>
      <c r="L4" s="1" t="s">
        <v>283</v>
      </c>
    </row>
    <row r="5" spans="2:24" x14ac:dyDescent="0.3">
      <c r="C5" s="122" t="s">
        <v>284</v>
      </c>
      <c r="D5" s="123"/>
      <c r="G5" s="32">
        <v>0.182</v>
      </c>
      <c r="H5" s="33">
        <f>0.016/1000</f>
        <v>1.5999999999999999E-5</v>
      </c>
      <c r="I5" s="34">
        <f>0/1000</f>
        <v>0</v>
      </c>
      <c r="L5" s="1" t="s">
        <v>285</v>
      </c>
    </row>
    <row r="6" spans="2:24" x14ac:dyDescent="0.3">
      <c r="B6" s="110" t="s">
        <v>286</v>
      </c>
      <c r="C6" s="112">
        <v>0.25900000000000001</v>
      </c>
      <c r="D6" s="34" t="s">
        <v>287</v>
      </c>
      <c r="G6" s="19" t="s">
        <v>288</v>
      </c>
    </row>
    <row r="7" spans="2:24" ht="15" customHeight="1" x14ac:dyDescent="0.3">
      <c r="B7" s="110" t="s">
        <v>289</v>
      </c>
      <c r="C7" s="112">
        <v>0</v>
      </c>
      <c r="D7" s="34" t="s">
        <v>287</v>
      </c>
      <c r="G7" s="262" t="s">
        <v>290</v>
      </c>
      <c r="H7" s="262"/>
      <c r="I7" s="262"/>
      <c r="J7" s="19"/>
      <c r="K7" s="19"/>
      <c r="L7" s="19"/>
      <c r="M7" s="19"/>
      <c r="N7" s="19"/>
      <c r="O7" s="19"/>
      <c r="P7" s="19"/>
      <c r="Q7" s="19"/>
      <c r="R7" s="19"/>
      <c r="S7" s="19"/>
      <c r="T7" s="19"/>
      <c r="U7" s="19"/>
      <c r="V7" s="19"/>
      <c r="W7" s="19"/>
      <c r="X7" s="19"/>
    </row>
    <row r="8" spans="2:24" x14ac:dyDescent="0.3">
      <c r="B8" s="110" t="s">
        <v>291</v>
      </c>
      <c r="C8" s="112">
        <v>0.26</v>
      </c>
      <c r="D8" s="34" t="s">
        <v>287</v>
      </c>
      <c r="G8" s="262"/>
      <c r="H8" s="262"/>
      <c r="I8" s="262"/>
    </row>
    <row r="9" spans="2:24" x14ac:dyDescent="0.3">
      <c r="B9" s="110" t="s">
        <v>292</v>
      </c>
      <c r="C9" s="112">
        <v>0.26</v>
      </c>
      <c r="D9" s="34" t="s">
        <v>287</v>
      </c>
    </row>
    <row r="10" spans="2:24" x14ac:dyDescent="0.3">
      <c r="B10" s="110" t="s">
        <v>293</v>
      </c>
      <c r="C10" s="112">
        <v>0</v>
      </c>
      <c r="D10" s="34" t="s">
        <v>287</v>
      </c>
    </row>
    <row r="11" spans="2:24" x14ac:dyDescent="0.3">
      <c r="B11" s="110" t="s">
        <v>294</v>
      </c>
      <c r="C11" s="112">
        <v>0.24</v>
      </c>
      <c r="D11" s="34" t="s">
        <v>287</v>
      </c>
      <c r="G11" s="143" t="s">
        <v>295</v>
      </c>
    </row>
    <row r="12" spans="2:24" x14ac:dyDescent="0.3">
      <c r="B12" s="110" t="s">
        <v>296</v>
      </c>
      <c r="C12" s="112">
        <v>0.26</v>
      </c>
      <c r="D12" s="34" t="s">
        <v>287</v>
      </c>
    </row>
    <row r="13" spans="2:24" x14ac:dyDescent="0.3">
      <c r="B13" s="110" t="s">
        <v>297</v>
      </c>
      <c r="C13" s="112">
        <v>0.23599999999999999</v>
      </c>
      <c r="D13" s="34" t="s">
        <v>287</v>
      </c>
      <c r="G13" s="43" t="s">
        <v>298</v>
      </c>
      <c r="H13" s="44"/>
      <c r="I13" s="45"/>
    </row>
    <row r="14" spans="2:24" x14ac:dyDescent="0.3">
      <c r="B14" s="110" t="s">
        <v>299</v>
      </c>
      <c r="C14" s="112">
        <v>0.26</v>
      </c>
      <c r="D14" s="34" t="s">
        <v>287</v>
      </c>
      <c r="G14" s="46" t="s">
        <v>300</v>
      </c>
      <c r="H14" s="46" t="s">
        <v>301</v>
      </c>
      <c r="I14" s="46" t="s">
        <v>302</v>
      </c>
    </row>
    <row r="15" spans="2:24" x14ac:dyDescent="0.3">
      <c r="B15" s="110" t="s">
        <v>303</v>
      </c>
      <c r="C15" s="112">
        <v>0.25900000000000001</v>
      </c>
      <c r="D15" s="34" t="s">
        <v>287</v>
      </c>
      <c r="G15" s="115" t="s">
        <v>304</v>
      </c>
      <c r="H15" s="116" t="s">
        <v>305</v>
      </c>
      <c r="I15" s="113">
        <v>14600</v>
      </c>
    </row>
    <row r="16" spans="2:24" x14ac:dyDescent="0.3">
      <c r="B16" s="110" t="s">
        <v>306</v>
      </c>
      <c r="C16" s="112">
        <v>0.26</v>
      </c>
      <c r="D16" s="34" t="s">
        <v>287</v>
      </c>
      <c r="G16" s="115" t="s">
        <v>307</v>
      </c>
      <c r="H16" s="116" t="s">
        <v>308</v>
      </c>
      <c r="I16" s="114">
        <v>771</v>
      </c>
    </row>
    <row r="17" spans="2:9" x14ac:dyDescent="0.3">
      <c r="B17" s="110" t="s">
        <v>309</v>
      </c>
      <c r="C17" s="112">
        <v>0.25700000000000001</v>
      </c>
      <c r="D17" s="34" t="s">
        <v>287</v>
      </c>
      <c r="G17" s="115" t="s">
        <v>310</v>
      </c>
      <c r="H17" s="116" t="s">
        <v>311</v>
      </c>
      <c r="I17" s="114">
        <v>135</v>
      </c>
    </row>
    <row r="18" spans="2:9" x14ac:dyDescent="0.3">
      <c r="B18" s="110" t="s">
        <v>312</v>
      </c>
      <c r="C18" s="112">
        <v>0.26</v>
      </c>
      <c r="D18" s="34" t="s">
        <v>287</v>
      </c>
      <c r="G18" s="115" t="s">
        <v>313</v>
      </c>
      <c r="H18" s="116" t="s">
        <v>314</v>
      </c>
      <c r="I18" s="113">
        <v>3740</v>
      </c>
    </row>
    <row r="19" spans="2:9" x14ac:dyDescent="0.3">
      <c r="B19" s="110" t="s">
        <v>315</v>
      </c>
      <c r="C19" s="112">
        <v>0</v>
      </c>
      <c r="D19" s="34" t="s">
        <v>287</v>
      </c>
      <c r="G19" s="115" t="s">
        <v>316</v>
      </c>
      <c r="H19" s="116" t="s">
        <v>317</v>
      </c>
      <c r="I19" s="113">
        <v>1260</v>
      </c>
    </row>
    <row r="20" spans="2:9" x14ac:dyDescent="0.3">
      <c r="B20" s="110" t="s">
        <v>315</v>
      </c>
      <c r="C20" s="112">
        <v>0</v>
      </c>
      <c r="D20" s="34" t="s">
        <v>287</v>
      </c>
      <c r="G20" s="115" t="s">
        <v>318</v>
      </c>
      <c r="H20" s="116" t="s">
        <v>319</v>
      </c>
      <c r="I20" s="113">
        <v>1530</v>
      </c>
    </row>
    <row r="21" spans="2:9" x14ac:dyDescent="0.3">
      <c r="B21" s="110" t="s">
        <v>320</v>
      </c>
      <c r="C21" s="112">
        <v>0.26</v>
      </c>
      <c r="D21" s="34" t="s">
        <v>287</v>
      </c>
      <c r="G21" s="115" t="s">
        <v>321</v>
      </c>
      <c r="H21" s="116" t="s">
        <v>322</v>
      </c>
      <c r="I21" s="114">
        <v>364</v>
      </c>
    </row>
    <row r="22" spans="2:9" x14ac:dyDescent="0.3">
      <c r="B22" s="110" t="s">
        <v>323</v>
      </c>
      <c r="C22" s="112">
        <v>0.14000000000000001</v>
      </c>
      <c r="D22" s="34" t="s">
        <v>287</v>
      </c>
      <c r="G22" s="115" t="s">
        <v>324</v>
      </c>
      <c r="H22" s="116" t="s">
        <v>325</v>
      </c>
      <c r="I22" s="113">
        <v>5810</v>
      </c>
    </row>
    <row r="23" spans="2:9" x14ac:dyDescent="0.3">
      <c r="B23" s="110" t="s">
        <v>326</v>
      </c>
      <c r="C23" s="112">
        <v>0.25700000000000001</v>
      </c>
      <c r="D23" s="34" t="s">
        <v>287</v>
      </c>
      <c r="G23" s="115" t="s">
        <v>327</v>
      </c>
      <c r="H23" s="116" t="s">
        <v>328</v>
      </c>
      <c r="I23" s="114">
        <v>21.5</v>
      </c>
    </row>
    <row r="24" spans="2:9" x14ac:dyDescent="0.3">
      <c r="B24" s="110" t="s">
        <v>329</v>
      </c>
      <c r="C24" s="112">
        <v>0.25600000000000001</v>
      </c>
      <c r="D24" s="34" t="s">
        <v>287</v>
      </c>
      <c r="G24" s="115" t="s">
        <v>330</v>
      </c>
      <c r="H24" s="116" t="s">
        <v>331</v>
      </c>
      <c r="I24" s="114">
        <v>164</v>
      </c>
    </row>
    <row r="25" spans="2:9" x14ac:dyDescent="0.3">
      <c r="B25" s="110" t="s">
        <v>332</v>
      </c>
      <c r="C25" s="112">
        <v>0.25600000000000001</v>
      </c>
      <c r="D25" s="34" t="s">
        <v>287</v>
      </c>
      <c r="G25" s="115" t="s">
        <v>333</v>
      </c>
      <c r="H25" s="116" t="s">
        <v>334</v>
      </c>
      <c r="I25" s="114">
        <v>4.84</v>
      </c>
    </row>
    <row r="26" spans="2:9" x14ac:dyDescent="0.3">
      <c r="B26" s="110" t="s">
        <v>335</v>
      </c>
      <c r="C26" s="112">
        <v>0</v>
      </c>
      <c r="D26" s="34" t="s">
        <v>287</v>
      </c>
      <c r="G26" s="115" t="s">
        <v>336</v>
      </c>
      <c r="H26" s="116" t="s">
        <v>337</v>
      </c>
      <c r="I26" s="113">
        <v>3600</v>
      </c>
    </row>
    <row r="27" spans="2:9" x14ac:dyDescent="0.3">
      <c r="B27" s="110" t="s">
        <v>338</v>
      </c>
      <c r="C27" s="112">
        <v>0.25</v>
      </c>
      <c r="D27" s="34" t="s">
        <v>287</v>
      </c>
      <c r="G27" s="115" t="s">
        <v>339</v>
      </c>
      <c r="H27" s="116" t="s">
        <v>340</v>
      </c>
      <c r="I27" s="113">
        <v>1350</v>
      </c>
    </row>
    <row r="28" spans="2:9" x14ac:dyDescent="0.3">
      <c r="B28" s="110" t="s">
        <v>341</v>
      </c>
      <c r="C28" s="112">
        <v>0.249</v>
      </c>
      <c r="D28" s="34" t="s">
        <v>287</v>
      </c>
      <c r="G28" s="115" t="s">
        <v>342</v>
      </c>
      <c r="H28" s="116" t="s">
        <v>343</v>
      </c>
      <c r="I28" s="113">
        <v>1500</v>
      </c>
    </row>
    <row r="29" spans="2:9" x14ac:dyDescent="0.3">
      <c r="B29" s="110" t="s">
        <v>344</v>
      </c>
      <c r="C29" s="112">
        <v>0.26</v>
      </c>
      <c r="D29" s="34" t="s">
        <v>287</v>
      </c>
      <c r="G29" s="115" t="s">
        <v>345</v>
      </c>
      <c r="H29" s="116" t="s">
        <v>346</v>
      </c>
      <c r="I29" s="113">
        <v>8690</v>
      </c>
    </row>
    <row r="30" spans="2:9" x14ac:dyDescent="0.3">
      <c r="B30" s="110" t="s">
        <v>347</v>
      </c>
      <c r="C30" s="112">
        <v>0.26</v>
      </c>
      <c r="D30" s="34" t="s">
        <v>287</v>
      </c>
      <c r="G30" s="115" t="s">
        <v>348</v>
      </c>
      <c r="H30" s="116" t="s">
        <v>349</v>
      </c>
      <c r="I30" s="114">
        <v>787</v>
      </c>
    </row>
    <row r="31" spans="2:9" x14ac:dyDescent="0.3">
      <c r="B31" s="110" t="s">
        <v>350</v>
      </c>
      <c r="C31" s="112">
        <v>0.26</v>
      </c>
      <c r="D31" s="34" t="s">
        <v>287</v>
      </c>
      <c r="G31" s="115" t="s">
        <v>351</v>
      </c>
      <c r="H31" s="116" t="s">
        <v>349</v>
      </c>
      <c r="I31" s="114">
        <v>962</v>
      </c>
    </row>
    <row r="32" spans="2:9" x14ac:dyDescent="0.3">
      <c r="B32" s="110" t="s">
        <v>352</v>
      </c>
      <c r="C32" s="112">
        <v>0.25900000000000001</v>
      </c>
      <c r="D32" s="34" t="s">
        <v>287</v>
      </c>
      <c r="G32" s="115" t="s">
        <v>353</v>
      </c>
      <c r="H32" s="116" t="s">
        <v>354</v>
      </c>
      <c r="I32" s="114">
        <v>914</v>
      </c>
    </row>
    <row r="33" spans="2:9" x14ac:dyDescent="0.3">
      <c r="B33" s="110" t="s">
        <v>355</v>
      </c>
      <c r="C33" s="112">
        <v>0.25800000000000001</v>
      </c>
      <c r="D33" s="34" t="s">
        <v>287</v>
      </c>
      <c r="G33" s="115" t="s">
        <v>356</v>
      </c>
      <c r="H33" s="116" t="s">
        <v>357</v>
      </c>
      <c r="I33" s="113">
        <v>1600</v>
      </c>
    </row>
    <row r="34" spans="2:9" x14ac:dyDescent="0.3">
      <c r="B34" s="110" t="s">
        <v>358</v>
      </c>
      <c r="C34" s="112">
        <v>0.25800000000000001</v>
      </c>
      <c r="D34" s="34" t="s">
        <v>287</v>
      </c>
      <c r="G34" s="115" t="s">
        <v>359</v>
      </c>
      <c r="H34" s="116" t="s">
        <v>360</v>
      </c>
      <c r="I34" s="113">
        <v>1960</v>
      </c>
    </row>
    <row r="35" spans="2:9" x14ac:dyDescent="0.3">
      <c r="B35" s="110" t="s">
        <v>361</v>
      </c>
      <c r="C35" s="112">
        <v>0.26</v>
      </c>
      <c r="D35" s="34" t="s">
        <v>287</v>
      </c>
      <c r="G35" s="115" t="s">
        <v>87</v>
      </c>
      <c r="H35" s="116" t="s">
        <v>362</v>
      </c>
      <c r="I35" s="113">
        <v>4728</v>
      </c>
    </row>
    <row r="36" spans="2:9" x14ac:dyDescent="0.3">
      <c r="B36" s="110" t="s">
        <v>123</v>
      </c>
      <c r="C36" s="112">
        <v>0.23699999999999999</v>
      </c>
      <c r="D36" s="34" t="s">
        <v>287</v>
      </c>
      <c r="G36" s="115" t="s">
        <v>363</v>
      </c>
      <c r="H36" s="116" t="s">
        <v>364</v>
      </c>
      <c r="I36" s="113">
        <v>2262</v>
      </c>
    </row>
    <row r="37" spans="2:9" x14ac:dyDescent="0.3">
      <c r="B37" s="110" t="s">
        <v>365</v>
      </c>
      <c r="C37" s="112">
        <v>0.26</v>
      </c>
      <c r="D37" s="34" t="s">
        <v>287</v>
      </c>
      <c r="G37" s="115" t="s">
        <v>366</v>
      </c>
      <c r="H37" s="116" t="s">
        <v>367</v>
      </c>
      <c r="I37" s="113">
        <v>3001</v>
      </c>
    </row>
    <row r="38" spans="2:9" x14ac:dyDescent="0.3">
      <c r="B38" s="110" t="s">
        <v>368</v>
      </c>
      <c r="C38" s="112">
        <v>0.26</v>
      </c>
      <c r="D38" s="34" t="s">
        <v>287</v>
      </c>
      <c r="G38" s="115" t="s">
        <v>369</v>
      </c>
      <c r="H38" s="116" t="s">
        <v>370</v>
      </c>
      <c r="I38" s="113">
        <v>1908</v>
      </c>
    </row>
    <row r="39" spans="2:9" x14ac:dyDescent="0.3">
      <c r="B39" s="110" t="s">
        <v>371</v>
      </c>
      <c r="C39" s="112">
        <v>0.25900000000000001</v>
      </c>
      <c r="D39" s="34" t="s">
        <v>287</v>
      </c>
      <c r="G39" s="115" t="s">
        <v>372</v>
      </c>
      <c r="H39" s="116" t="s">
        <v>373</v>
      </c>
      <c r="I39" s="113">
        <v>1965</v>
      </c>
    </row>
    <row r="40" spans="2:9" x14ac:dyDescent="0.3">
      <c r="B40" s="110" t="s">
        <v>374</v>
      </c>
      <c r="C40" s="112">
        <v>0.25900000000000001</v>
      </c>
      <c r="D40" s="34" t="s">
        <v>287</v>
      </c>
      <c r="G40" s="115" t="s">
        <v>375</v>
      </c>
      <c r="H40" s="116" t="s">
        <v>376</v>
      </c>
      <c r="I40" s="113">
        <v>2256</v>
      </c>
    </row>
    <row r="41" spans="2:9" x14ac:dyDescent="0.3">
      <c r="B41" s="110" t="s">
        <v>377</v>
      </c>
      <c r="C41" s="112">
        <v>0.26</v>
      </c>
      <c r="D41" s="34" t="s">
        <v>287</v>
      </c>
      <c r="G41" s="115" t="s">
        <v>378</v>
      </c>
      <c r="H41" s="116" t="s">
        <v>379</v>
      </c>
      <c r="I41" s="113">
        <v>2404</v>
      </c>
    </row>
    <row r="42" spans="2:9" x14ac:dyDescent="0.3">
      <c r="B42" s="110" t="s">
        <v>380</v>
      </c>
      <c r="C42" s="112">
        <v>0.253</v>
      </c>
      <c r="D42" s="34" t="s">
        <v>287</v>
      </c>
      <c r="G42" s="115" t="s">
        <v>381</v>
      </c>
      <c r="H42" s="116" t="s">
        <v>382</v>
      </c>
      <c r="I42" s="113">
        <v>2183</v>
      </c>
    </row>
    <row r="43" spans="2:9" x14ac:dyDescent="0.3">
      <c r="B43" s="110" t="s">
        <v>383</v>
      </c>
      <c r="C43" s="112">
        <v>0.24299999999999999</v>
      </c>
      <c r="D43" s="34" t="s">
        <v>287</v>
      </c>
      <c r="G43" s="115" t="s">
        <v>384</v>
      </c>
      <c r="H43" s="116" t="s">
        <v>385</v>
      </c>
      <c r="I43" s="113">
        <v>2508</v>
      </c>
    </row>
    <row r="44" spans="2:9" x14ac:dyDescent="0.3">
      <c r="B44" s="110" t="s">
        <v>386</v>
      </c>
      <c r="C44" s="112">
        <v>0.26</v>
      </c>
      <c r="D44" s="34" t="s">
        <v>287</v>
      </c>
      <c r="G44" s="115" t="s">
        <v>387</v>
      </c>
      <c r="H44" s="116" t="s">
        <v>388</v>
      </c>
      <c r="I44" s="113">
        <v>3235</v>
      </c>
    </row>
    <row r="45" spans="2:9" x14ac:dyDescent="0.3">
      <c r="B45" s="110" t="s">
        <v>389</v>
      </c>
      <c r="C45" s="112">
        <v>0.26</v>
      </c>
      <c r="D45" s="34" t="s">
        <v>287</v>
      </c>
      <c r="G45" s="115" t="s">
        <v>390</v>
      </c>
      <c r="H45" s="116" t="s">
        <v>391</v>
      </c>
      <c r="I45" s="113">
        <v>3359</v>
      </c>
    </row>
    <row r="46" spans="2:9" x14ac:dyDescent="0.3">
      <c r="B46" s="110" t="s">
        <v>392</v>
      </c>
      <c r="C46" s="112">
        <v>0.25900000000000001</v>
      </c>
      <c r="D46" s="34" t="s">
        <v>287</v>
      </c>
      <c r="G46" s="115" t="s">
        <v>393</v>
      </c>
      <c r="H46" s="116" t="s">
        <v>394</v>
      </c>
      <c r="I46" s="113">
        <v>2917</v>
      </c>
    </row>
    <row r="47" spans="2:9" x14ac:dyDescent="0.3">
      <c r="B47" s="110" t="s">
        <v>395</v>
      </c>
      <c r="C47" s="112">
        <v>0.26</v>
      </c>
      <c r="D47" s="34" t="s">
        <v>287</v>
      </c>
      <c r="G47" s="115" t="s">
        <v>396</v>
      </c>
      <c r="H47" s="116" t="s">
        <v>397</v>
      </c>
      <c r="I47" s="113">
        <v>2608</v>
      </c>
    </row>
    <row r="48" spans="2:9" x14ac:dyDescent="0.3">
      <c r="B48" s="110" t="s">
        <v>398</v>
      </c>
      <c r="C48" s="112">
        <v>0.26</v>
      </c>
      <c r="D48" s="34" t="s">
        <v>287</v>
      </c>
      <c r="G48" s="115" t="s">
        <v>399</v>
      </c>
      <c r="H48" s="116" t="s">
        <v>400</v>
      </c>
      <c r="I48" s="113">
        <v>1614</v>
      </c>
    </row>
    <row r="49" spans="2:9" x14ac:dyDescent="0.3">
      <c r="B49" s="110" t="s">
        <v>401</v>
      </c>
      <c r="C49" s="112">
        <v>0.26</v>
      </c>
      <c r="D49" s="34" t="s">
        <v>287</v>
      </c>
      <c r="G49" s="115" t="s">
        <v>402</v>
      </c>
      <c r="H49" s="116" t="s">
        <v>403</v>
      </c>
      <c r="I49" s="113">
        <v>2397</v>
      </c>
    </row>
    <row r="50" spans="2:9" x14ac:dyDescent="0.3">
      <c r="B50" s="110" t="s">
        <v>404</v>
      </c>
      <c r="C50" s="112">
        <v>0.26</v>
      </c>
      <c r="D50" s="34" t="s">
        <v>287</v>
      </c>
      <c r="G50" s="115" t="s">
        <v>405</v>
      </c>
      <c r="H50" s="116" t="s">
        <v>406</v>
      </c>
      <c r="I50" s="113">
        <v>4061</v>
      </c>
    </row>
    <row r="51" spans="2:9" x14ac:dyDescent="0.3">
      <c r="B51" s="110" t="s">
        <v>407</v>
      </c>
      <c r="C51" s="112">
        <v>0</v>
      </c>
      <c r="D51" s="34" t="s">
        <v>287</v>
      </c>
      <c r="G51" s="115" t="s">
        <v>408</v>
      </c>
      <c r="H51" s="116" t="s">
        <v>409</v>
      </c>
      <c r="I51" s="113">
        <v>3654</v>
      </c>
    </row>
    <row r="52" spans="2:9" x14ac:dyDescent="0.3">
      <c r="B52" s="110" t="s">
        <v>410</v>
      </c>
      <c r="C52" s="112">
        <v>0.25900000000000001</v>
      </c>
      <c r="D52" s="34" t="s">
        <v>287</v>
      </c>
      <c r="G52" s="115" t="s">
        <v>411</v>
      </c>
      <c r="H52" s="116" t="s">
        <v>412</v>
      </c>
      <c r="I52" s="113">
        <v>1930</v>
      </c>
    </row>
    <row r="53" spans="2:9" x14ac:dyDescent="0.3">
      <c r="B53" s="110" t="s">
        <v>413</v>
      </c>
      <c r="C53" s="112">
        <v>0.253</v>
      </c>
      <c r="D53" s="34" t="s">
        <v>287</v>
      </c>
      <c r="G53" s="115" t="s">
        <v>414</v>
      </c>
      <c r="H53" s="116" t="s">
        <v>415</v>
      </c>
      <c r="I53" s="113">
        <v>2425</v>
      </c>
    </row>
    <row r="54" spans="2:9" x14ac:dyDescent="0.3">
      <c r="B54" s="110" t="s">
        <v>416</v>
      </c>
      <c r="C54" s="112">
        <v>0.26</v>
      </c>
      <c r="D54" s="34" t="s">
        <v>287</v>
      </c>
      <c r="G54" s="115" t="s">
        <v>417</v>
      </c>
      <c r="H54" s="116" t="s">
        <v>418</v>
      </c>
      <c r="I54" s="113">
        <v>2042</v>
      </c>
    </row>
    <row r="55" spans="2:9" x14ac:dyDescent="0.3">
      <c r="B55" s="110" t="s">
        <v>419</v>
      </c>
      <c r="C55" s="112">
        <v>0.26</v>
      </c>
      <c r="D55" s="34" t="s">
        <v>287</v>
      </c>
      <c r="G55" s="115" t="s">
        <v>420</v>
      </c>
      <c r="H55" s="116" t="s">
        <v>421</v>
      </c>
      <c r="I55" s="113">
        <v>1504</v>
      </c>
    </row>
    <row r="56" spans="2:9" x14ac:dyDescent="0.3">
      <c r="B56" s="110" t="s">
        <v>422</v>
      </c>
      <c r="C56" s="112">
        <v>0.25900000000000001</v>
      </c>
      <c r="D56" s="34" t="s">
        <v>287</v>
      </c>
      <c r="G56" s="115" t="s">
        <v>423</v>
      </c>
      <c r="H56" s="116" t="s">
        <v>424</v>
      </c>
      <c r="I56" s="113">
        <v>2292</v>
      </c>
    </row>
    <row r="57" spans="2:9" x14ac:dyDescent="0.3">
      <c r="B57" s="110" t="s">
        <v>425</v>
      </c>
      <c r="C57" s="112">
        <v>0.26</v>
      </c>
      <c r="D57" s="34" t="s">
        <v>287</v>
      </c>
      <c r="G57" s="115" t="s">
        <v>426</v>
      </c>
      <c r="H57" s="116" t="s">
        <v>427</v>
      </c>
      <c r="I57" s="113">
        <v>1905</v>
      </c>
    </row>
    <row r="58" spans="2:9" x14ac:dyDescent="0.3">
      <c r="B58" s="110" t="s">
        <v>428</v>
      </c>
      <c r="C58" s="112">
        <v>0.26</v>
      </c>
      <c r="D58" s="34" t="s">
        <v>287</v>
      </c>
      <c r="G58" s="115" t="s">
        <v>429</v>
      </c>
      <c r="H58" s="116" t="s">
        <v>430</v>
      </c>
      <c r="I58" s="113">
        <v>4775</v>
      </c>
    </row>
    <row r="59" spans="2:9" x14ac:dyDescent="0.3">
      <c r="B59" s="110" t="s">
        <v>431</v>
      </c>
      <c r="C59" s="112">
        <v>0.26</v>
      </c>
      <c r="D59" s="34" t="s">
        <v>287</v>
      </c>
      <c r="G59" s="115" t="s">
        <v>432</v>
      </c>
      <c r="H59" s="116" t="s">
        <v>432</v>
      </c>
      <c r="I59" s="114" t="s">
        <v>433</v>
      </c>
    </row>
    <row r="60" spans="2:9" x14ac:dyDescent="0.3">
      <c r="B60" s="110" t="s">
        <v>434</v>
      </c>
      <c r="C60" s="112">
        <v>0.24</v>
      </c>
      <c r="D60" s="34" t="s">
        <v>287</v>
      </c>
      <c r="G60" s="19" t="s">
        <v>288</v>
      </c>
    </row>
    <row r="61" spans="2:9" x14ac:dyDescent="0.3">
      <c r="B61" s="110" t="s">
        <v>435</v>
      </c>
      <c r="C61" s="112">
        <v>0.25800000000000001</v>
      </c>
      <c r="D61" s="34" t="s">
        <v>287</v>
      </c>
    </row>
    <row r="62" spans="2:9" x14ac:dyDescent="0.3">
      <c r="B62" s="110" t="s">
        <v>436</v>
      </c>
      <c r="C62" s="112">
        <v>0.26</v>
      </c>
      <c r="D62" s="34" t="s">
        <v>287</v>
      </c>
    </row>
    <row r="63" spans="2:9" x14ac:dyDescent="0.3">
      <c r="B63" s="110" t="s">
        <v>437</v>
      </c>
      <c r="C63" s="112">
        <v>0.26</v>
      </c>
      <c r="D63" s="34" t="s">
        <v>287</v>
      </c>
      <c r="G63" s="143" t="s">
        <v>438</v>
      </c>
    </row>
    <row r="64" spans="2:9" x14ac:dyDescent="0.3">
      <c r="B64" s="110" t="s">
        <v>439</v>
      </c>
      <c r="C64" s="112">
        <v>0.26</v>
      </c>
      <c r="D64" s="34" t="s">
        <v>287</v>
      </c>
    </row>
    <row r="65" spans="2:9" x14ac:dyDescent="0.3">
      <c r="B65" s="110" t="s">
        <v>440</v>
      </c>
      <c r="C65" s="112">
        <v>0.25800000000000001</v>
      </c>
      <c r="D65" s="34" t="s">
        <v>287</v>
      </c>
      <c r="G65" s="47" t="s">
        <v>441</v>
      </c>
      <c r="H65" s="41"/>
      <c r="I65" s="42"/>
    </row>
    <row r="66" spans="2:9" x14ac:dyDescent="0.3">
      <c r="B66" s="110" t="s">
        <v>442</v>
      </c>
      <c r="C66" s="112">
        <v>0.252</v>
      </c>
      <c r="D66" s="34" t="s">
        <v>287</v>
      </c>
      <c r="G66" s="37" t="s">
        <v>443</v>
      </c>
      <c r="H66" s="37" t="s">
        <v>444</v>
      </c>
      <c r="I66" s="37" t="s">
        <v>445</v>
      </c>
    </row>
    <row r="67" spans="2:9" x14ac:dyDescent="0.3">
      <c r="B67" s="110" t="s">
        <v>446</v>
      </c>
      <c r="C67" s="112">
        <v>0.252</v>
      </c>
      <c r="D67" s="34" t="s">
        <v>287</v>
      </c>
      <c r="G67" s="65" t="s">
        <v>447</v>
      </c>
      <c r="H67" s="88">
        <v>2.7210000000000001</v>
      </c>
      <c r="I67" s="66" t="s">
        <v>448</v>
      </c>
    </row>
    <row r="68" spans="2:9" x14ac:dyDescent="0.3">
      <c r="B68" s="110" t="s">
        <v>449</v>
      </c>
      <c r="C68" s="112">
        <v>0.25900000000000001</v>
      </c>
      <c r="D68" s="34" t="s">
        <v>287</v>
      </c>
      <c r="G68" s="65" t="s">
        <v>450</v>
      </c>
      <c r="H68" s="88">
        <v>2.7210000000000001</v>
      </c>
      <c r="I68" s="66" t="s">
        <v>448</v>
      </c>
    </row>
    <row r="69" spans="2:9" x14ac:dyDescent="0.3">
      <c r="B69" s="110" t="s">
        <v>451</v>
      </c>
      <c r="C69" s="112">
        <v>0.26</v>
      </c>
      <c r="D69" s="34" t="s">
        <v>287</v>
      </c>
      <c r="G69" s="19" t="s">
        <v>288</v>
      </c>
    </row>
    <row r="70" spans="2:9" x14ac:dyDescent="0.3">
      <c r="B70" s="110" t="s">
        <v>452</v>
      </c>
      <c r="C70" s="112">
        <v>0.26</v>
      </c>
      <c r="D70" s="34" t="s">
        <v>287</v>
      </c>
      <c r="G70" s="19"/>
    </row>
    <row r="71" spans="2:9" x14ac:dyDescent="0.3">
      <c r="B71" s="110" t="s">
        <v>453</v>
      </c>
      <c r="C71" s="112">
        <v>0.26</v>
      </c>
      <c r="D71" s="34" t="s">
        <v>287</v>
      </c>
    </row>
    <row r="72" spans="2:9" x14ac:dyDescent="0.3">
      <c r="B72" s="110" t="s">
        <v>454</v>
      </c>
      <c r="C72" s="112">
        <v>0.254</v>
      </c>
      <c r="D72" s="34" t="s">
        <v>287</v>
      </c>
      <c r="G72" s="143" t="s">
        <v>455</v>
      </c>
    </row>
    <row r="73" spans="2:9" x14ac:dyDescent="0.3">
      <c r="B73" s="110" t="s">
        <v>456</v>
      </c>
      <c r="C73" s="112">
        <v>0.254</v>
      </c>
      <c r="D73" s="34" t="s">
        <v>287</v>
      </c>
    </row>
    <row r="74" spans="2:9" ht="15.6" x14ac:dyDescent="0.35">
      <c r="B74" s="110" t="s">
        <v>457</v>
      </c>
      <c r="C74" s="112">
        <v>0</v>
      </c>
      <c r="D74" s="34" t="s">
        <v>287</v>
      </c>
      <c r="G74" s="40" t="s">
        <v>458</v>
      </c>
      <c r="H74" s="40" t="s">
        <v>279</v>
      </c>
      <c r="I74" s="40" t="s">
        <v>459</v>
      </c>
    </row>
    <row r="75" spans="2:9" x14ac:dyDescent="0.3">
      <c r="B75" s="110" t="s">
        <v>460</v>
      </c>
      <c r="C75" s="112">
        <v>0.222</v>
      </c>
      <c r="D75" s="34" t="s">
        <v>287</v>
      </c>
      <c r="G75" s="31" t="s">
        <v>461</v>
      </c>
      <c r="H75" s="31" t="s">
        <v>462</v>
      </c>
      <c r="I75" s="80">
        <v>0.17699999999999999</v>
      </c>
    </row>
    <row r="76" spans="2:9" x14ac:dyDescent="0.3">
      <c r="B76" s="110" t="s">
        <v>463</v>
      </c>
      <c r="C76" s="112">
        <v>0.26</v>
      </c>
      <c r="D76" s="34" t="s">
        <v>287</v>
      </c>
      <c r="G76" s="31" t="s">
        <v>464</v>
      </c>
      <c r="H76" s="31" t="s">
        <v>462</v>
      </c>
      <c r="I76" s="77">
        <v>0.20100000000000001</v>
      </c>
    </row>
    <row r="77" spans="2:9" x14ac:dyDescent="0.3">
      <c r="B77" s="110" t="s">
        <v>465</v>
      </c>
      <c r="C77" s="112">
        <v>0</v>
      </c>
      <c r="D77" s="34" t="s">
        <v>287</v>
      </c>
      <c r="G77" s="19" t="s">
        <v>466</v>
      </c>
    </row>
    <row r="78" spans="2:9" x14ac:dyDescent="0.3">
      <c r="B78" s="110" t="s">
        <v>467</v>
      </c>
      <c r="C78" s="112">
        <v>0.24099999999999999</v>
      </c>
      <c r="D78" s="34" t="s">
        <v>287</v>
      </c>
    </row>
    <row r="79" spans="2:9" x14ac:dyDescent="0.3">
      <c r="B79" s="110" t="s">
        <v>468</v>
      </c>
      <c r="C79" s="112">
        <v>0</v>
      </c>
      <c r="D79" s="34" t="s">
        <v>287</v>
      </c>
    </row>
    <row r="80" spans="2:9" x14ac:dyDescent="0.3">
      <c r="B80" s="110" t="s">
        <v>469</v>
      </c>
      <c r="C80" s="112">
        <v>0.252</v>
      </c>
      <c r="D80" s="34" t="s">
        <v>287</v>
      </c>
    </row>
    <row r="81" spans="2:4" x14ac:dyDescent="0.3">
      <c r="B81" s="110" t="s">
        <v>470</v>
      </c>
      <c r="C81" s="112">
        <v>0.23300000000000001</v>
      </c>
      <c r="D81" s="34" t="s">
        <v>287</v>
      </c>
    </row>
    <row r="82" spans="2:4" x14ac:dyDescent="0.3">
      <c r="B82" s="110" t="s">
        <v>471</v>
      </c>
      <c r="C82" s="112">
        <v>0.25700000000000001</v>
      </c>
      <c r="D82" s="34" t="s">
        <v>287</v>
      </c>
    </row>
    <row r="83" spans="2:4" x14ac:dyDescent="0.3">
      <c r="B83" s="110" t="s">
        <v>472</v>
      </c>
      <c r="C83" s="112">
        <v>0.23400000000000001</v>
      </c>
      <c r="D83" s="34" t="s">
        <v>287</v>
      </c>
    </row>
    <row r="84" spans="2:4" x14ac:dyDescent="0.3">
      <c r="B84" s="110" t="s">
        <v>473</v>
      </c>
      <c r="C84" s="112">
        <v>0.26</v>
      </c>
      <c r="D84" s="34" t="s">
        <v>287</v>
      </c>
    </row>
    <row r="85" spans="2:4" x14ac:dyDescent="0.3">
      <c r="B85" s="110" t="s">
        <v>474</v>
      </c>
      <c r="C85" s="112">
        <v>0.25900000000000001</v>
      </c>
      <c r="D85" s="34" t="s">
        <v>287</v>
      </c>
    </row>
    <row r="86" spans="2:4" x14ac:dyDescent="0.3">
      <c r="B86" s="110" t="s">
        <v>475</v>
      </c>
      <c r="C86" s="112">
        <v>0.248</v>
      </c>
      <c r="D86" s="34" t="s">
        <v>287</v>
      </c>
    </row>
    <row r="87" spans="2:4" x14ac:dyDescent="0.3">
      <c r="B87" s="110" t="s">
        <v>476</v>
      </c>
      <c r="C87" s="112">
        <v>0.26</v>
      </c>
      <c r="D87" s="34" t="s">
        <v>287</v>
      </c>
    </row>
    <row r="88" spans="2:4" x14ac:dyDescent="0.3">
      <c r="B88" s="110" t="s">
        <v>477</v>
      </c>
      <c r="C88" s="112">
        <v>0.26</v>
      </c>
      <c r="D88" s="34" t="s">
        <v>287</v>
      </c>
    </row>
    <row r="89" spans="2:4" x14ac:dyDescent="0.3">
      <c r="B89" s="110" t="s">
        <v>478</v>
      </c>
      <c r="C89" s="112">
        <v>0.20399999999999999</v>
      </c>
      <c r="D89" s="34" t="s">
        <v>287</v>
      </c>
    </row>
    <row r="90" spans="2:4" x14ac:dyDescent="0.3">
      <c r="B90" s="110" t="s">
        <v>479</v>
      </c>
      <c r="C90" s="112">
        <v>0</v>
      </c>
      <c r="D90" s="34" t="s">
        <v>287</v>
      </c>
    </row>
    <row r="91" spans="2:4" x14ac:dyDescent="0.3">
      <c r="B91" s="110" t="s">
        <v>480</v>
      </c>
      <c r="C91" s="112">
        <v>0.25900000000000001</v>
      </c>
      <c r="D91" s="34" t="s">
        <v>287</v>
      </c>
    </row>
    <row r="92" spans="2:4" x14ac:dyDescent="0.3">
      <c r="B92" s="110" t="s">
        <v>481</v>
      </c>
      <c r="C92" s="112">
        <v>0</v>
      </c>
      <c r="D92" s="34" t="s">
        <v>287</v>
      </c>
    </row>
    <row r="93" spans="2:4" x14ac:dyDescent="0.3">
      <c r="B93" s="110" t="s">
        <v>482</v>
      </c>
      <c r="C93" s="112">
        <v>0.26</v>
      </c>
      <c r="D93" s="34" t="s">
        <v>287</v>
      </c>
    </row>
    <row r="94" spans="2:4" x14ac:dyDescent="0.3">
      <c r="B94" s="110" t="s">
        <v>483</v>
      </c>
      <c r="C94" s="112">
        <v>0.26</v>
      </c>
      <c r="D94" s="34" t="s">
        <v>287</v>
      </c>
    </row>
    <row r="95" spans="2:4" x14ac:dyDescent="0.3">
      <c r="B95" s="110" t="s">
        <v>484</v>
      </c>
      <c r="C95" s="112">
        <v>0.21199999999999999</v>
      </c>
      <c r="D95" s="34" t="s">
        <v>287</v>
      </c>
    </row>
    <row r="96" spans="2:4" x14ac:dyDescent="0.3">
      <c r="B96" s="110" t="s">
        <v>485</v>
      </c>
      <c r="C96" s="112">
        <v>0.26</v>
      </c>
      <c r="D96" s="34" t="s">
        <v>287</v>
      </c>
    </row>
    <row r="97" spans="2:4" x14ac:dyDescent="0.3">
      <c r="B97" s="110" t="s">
        <v>486</v>
      </c>
      <c r="C97" s="112">
        <v>0</v>
      </c>
      <c r="D97" s="34" t="s">
        <v>287</v>
      </c>
    </row>
    <row r="98" spans="2:4" x14ac:dyDescent="0.3">
      <c r="B98" s="110" t="s">
        <v>487</v>
      </c>
      <c r="C98" s="112">
        <v>0.215</v>
      </c>
      <c r="D98" s="34" t="s">
        <v>287</v>
      </c>
    </row>
    <row r="99" spans="2:4" x14ac:dyDescent="0.3">
      <c r="B99" s="110" t="s">
        <v>488</v>
      </c>
      <c r="C99" s="112">
        <v>0.25900000000000001</v>
      </c>
      <c r="D99" s="34" t="s">
        <v>287</v>
      </c>
    </row>
    <row r="100" spans="2:4" x14ac:dyDescent="0.3">
      <c r="B100" s="110" t="s">
        <v>489</v>
      </c>
      <c r="C100" s="112">
        <v>0</v>
      </c>
      <c r="D100" s="34" t="s">
        <v>287</v>
      </c>
    </row>
    <row r="101" spans="2:4" x14ac:dyDescent="0.3">
      <c r="B101" s="110" t="s">
        <v>490</v>
      </c>
      <c r="C101" s="112">
        <v>0</v>
      </c>
      <c r="D101" s="34" t="s">
        <v>287</v>
      </c>
    </row>
    <row r="102" spans="2:4" x14ac:dyDescent="0.3">
      <c r="B102" s="110" t="s">
        <v>491</v>
      </c>
      <c r="C102" s="112">
        <v>0.254</v>
      </c>
      <c r="D102" s="34" t="s">
        <v>287</v>
      </c>
    </row>
    <row r="103" spans="2:4" x14ac:dyDescent="0.3">
      <c r="B103" s="110" t="s">
        <v>492</v>
      </c>
      <c r="C103" s="112">
        <v>0.26</v>
      </c>
      <c r="D103" s="34" t="s">
        <v>287</v>
      </c>
    </row>
    <row r="104" spans="2:4" x14ac:dyDescent="0.3">
      <c r="B104" s="110" t="s">
        <v>493</v>
      </c>
      <c r="C104" s="112">
        <v>0.26</v>
      </c>
      <c r="D104" s="34" t="s">
        <v>287</v>
      </c>
    </row>
    <row r="105" spans="2:4" x14ac:dyDescent="0.3">
      <c r="B105" s="110" t="s">
        <v>494</v>
      </c>
      <c r="C105" s="112">
        <v>0.25900000000000001</v>
      </c>
      <c r="D105" s="34" t="s">
        <v>287</v>
      </c>
    </row>
    <row r="106" spans="2:4" x14ac:dyDescent="0.3">
      <c r="B106" s="110" t="s">
        <v>495</v>
      </c>
      <c r="C106" s="112">
        <v>0.26</v>
      </c>
      <c r="D106" s="34" t="s">
        <v>287</v>
      </c>
    </row>
    <row r="107" spans="2:4" x14ac:dyDescent="0.3">
      <c r="B107" s="110" t="s">
        <v>496</v>
      </c>
      <c r="C107" s="112">
        <v>0.26</v>
      </c>
      <c r="D107" s="34" t="s">
        <v>287</v>
      </c>
    </row>
    <row r="108" spans="2:4" x14ac:dyDescent="0.3">
      <c r="B108" s="110" t="s">
        <v>497</v>
      </c>
      <c r="C108" s="112">
        <v>0.25800000000000001</v>
      </c>
      <c r="D108" s="34" t="s">
        <v>287</v>
      </c>
    </row>
    <row r="109" spans="2:4" x14ac:dyDescent="0.3">
      <c r="B109" s="110" t="s">
        <v>498</v>
      </c>
      <c r="C109" s="112">
        <v>0.25900000000000001</v>
      </c>
      <c r="D109" s="34" t="s">
        <v>287</v>
      </c>
    </row>
    <row r="110" spans="2:4" x14ac:dyDescent="0.3">
      <c r="B110" s="110" t="s">
        <v>499</v>
      </c>
      <c r="C110" s="112">
        <v>0</v>
      </c>
      <c r="D110" s="34" t="s">
        <v>287</v>
      </c>
    </row>
    <row r="111" spans="2:4" x14ac:dyDescent="0.3">
      <c r="B111" s="110" t="s">
        <v>500</v>
      </c>
      <c r="C111" s="112">
        <v>8.9999999999999993E-3</v>
      </c>
      <c r="D111" s="34" t="s">
        <v>287</v>
      </c>
    </row>
    <row r="112" spans="2:4" x14ac:dyDescent="0.3">
      <c r="B112" s="110" t="s">
        <v>501</v>
      </c>
      <c r="C112" s="112">
        <v>0.26300000000000001</v>
      </c>
      <c r="D112" s="34" t="s">
        <v>287</v>
      </c>
    </row>
    <row r="113" spans="2:4" x14ac:dyDescent="0.3">
      <c r="B113" s="110" t="s">
        <v>502</v>
      </c>
      <c r="C113" s="112">
        <v>0.25</v>
      </c>
      <c r="D113" s="34" t="s">
        <v>287</v>
      </c>
    </row>
    <row r="114" spans="2:4" x14ac:dyDescent="0.3">
      <c r="B114" s="110" t="s">
        <v>503</v>
      </c>
      <c r="C114" s="112">
        <v>0</v>
      </c>
      <c r="D114" s="34" t="s">
        <v>287</v>
      </c>
    </row>
    <row r="115" spans="2:4" x14ac:dyDescent="0.3">
      <c r="B115" s="110" t="s">
        <v>504</v>
      </c>
      <c r="C115" s="112">
        <v>0.25700000000000001</v>
      </c>
      <c r="D115" s="34" t="s">
        <v>287</v>
      </c>
    </row>
    <row r="116" spans="2:4" x14ac:dyDescent="0.3">
      <c r="B116" s="110" t="s">
        <v>505</v>
      </c>
      <c r="C116" s="112">
        <v>0.26</v>
      </c>
      <c r="D116" s="34" t="s">
        <v>287</v>
      </c>
    </row>
    <row r="117" spans="2:4" x14ac:dyDescent="0.3">
      <c r="B117" s="110" t="s">
        <v>506</v>
      </c>
      <c r="C117" s="112">
        <v>0.25600000000000001</v>
      </c>
      <c r="D117" s="34" t="s">
        <v>287</v>
      </c>
    </row>
    <row r="118" spans="2:4" x14ac:dyDescent="0.3">
      <c r="B118" s="110" t="s">
        <v>507</v>
      </c>
      <c r="C118" s="112">
        <v>0.26</v>
      </c>
      <c r="D118" s="34" t="s">
        <v>287</v>
      </c>
    </row>
    <row r="119" spans="2:4" x14ac:dyDescent="0.3">
      <c r="B119" s="110" t="s">
        <v>508</v>
      </c>
      <c r="C119" s="112">
        <v>0.26</v>
      </c>
      <c r="D119" s="34" t="s">
        <v>287</v>
      </c>
    </row>
    <row r="120" spans="2:4" x14ac:dyDescent="0.3">
      <c r="B120" s="110" t="s">
        <v>509</v>
      </c>
      <c r="C120" s="112">
        <v>0</v>
      </c>
      <c r="D120" s="34" t="s">
        <v>287</v>
      </c>
    </row>
    <row r="121" spans="2:4" x14ac:dyDescent="0.3">
      <c r="B121" s="110" t="s">
        <v>510</v>
      </c>
      <c r="C121" s="112">
        <v>0.26</v>
      </c>
      <c r="D121" s="34" t="s">
        <v>287</v>
      </c>
    </row>
    <row r="122" spans="2:4" x14ac:dyDescent="0.3">
      <c r="B122" s="110" t="s">
        <v>511</v>
      </c>
      <c r="C122" s="112">
        <v>0.26</v>
      </c>
      <c r="D122" s="34" t="s">
        <v>287</v>
      </c>
    </row>
    <row r="123" spans="2:4" x14ac:dyDescent="0.3">
      <c r="B123" s="110" t="s">
        <v>512</v>
      </c>
      <c r="C123" s="112">
        <v>0</v>
      </c>
      <c r="D123" s="34" t="s">
        <v>287</v>
      </c>
    </row>
    <row r="124" spans="2:4" x14ac:dyDescent="0.3">
      <c r="B124" s="110" t="s">
        <v>513</v>
      </c>
      <c r="C124" s="112">
        <v>0.249</v>
      </c>
      <c r="D124" s="34" t="s">
        <v>287</v>
      </c>
    </row>
    <row r="125" spans="2:4" x14ac:dyDescent="0.3">
      <c r="B125" s="110" t="s">
        <v>514</v>
      </c>
      <c r="C125" s="112">
        <v>0.247</v>
      </c>
      <c r="D125" s="34" t="s">
        <v>287</v>
      </c>
    </row>
    <row r="126" spans="2:4" x14ac:dyDescent="0.3">
      <c r="B126" s="110" t="s">
        <v>515</v>
      </c>
      <c r="C126" s="112">
        <v>0.26</v>
      </c>
      <c r="D126" s="34" t="s">
        <v>287</v>
      </c>
    </row>
    <row r="127" spans="2:4" x14ac:dyDescent="0.3">
      <c r="B127" s="110" t="s">
        <v>516</v>
      </c>
      <c r="C127" s="112">
        <v>0.26</v>
      </c>
      <c r="D127" s="34" t="s">
        <v>287</v>
      </c>
    </row>
    <row r="128" spans="2:4" x14ac:dyDescent="0.3">
      <c r="B128" s="110" t="s">
        <v>517</v>
      </c>
      <c r="C128" s="112">
        <v>0.26</v>
      </c>
      <c r="D128" s="34" t="s">
        <v>287</v>
      </c>
    </row>
    <row r="129" spans="2:4" x14ac:dyDescent="0.3">
      <c r="B129" s="110" t="s">
        <v>518</v>
      </c>
      <c r="C129" s="112">
        <v>0.26</v>
      </c>
      <c r="D129" s="34" t="s">
        <v>287</v>
      </c>
    </row>
    <row r="130" spans="2:4" x14ac:dyDescent="0.3">
      <c r="B130" s="110" t="s">
        <v>519</v>
      </c>
      <c r="C130" s="112">
        <v>0.254</v>
      </c>
      <c r="D130" s="34" t="s">
        <v>287</v>
      </c>
    </row>
    <row r="131" spans="2:4" x14ac:dyDescent="0.3">
      <c r="C131" s="122" t="s">
        <v>520</v>
      </c>
      <c r="D131" s="123"/>
    </row>
    <row r="132" spans="2:4" x14ac:dyDescent="0.3">
      <c r="B132" s="111" t="s">
        <v>521</v>
      </c>
      <c r="C132" s="112">
        <v>0</v>
      </c>
      <c r="D132" s="34" t="s">
        <v>287</v>
      </c>
    </row>
    <row r="133" spans="2:4" x14ac:dyDescent="0.3">
      <c r="B133" s="110" t="s">
        <v>522</v>
      </c>
      <c r="C133" s="112">
        <v>0</v>
      </c>
      <c r="D133" s="34" t="s">
        <v>287</v>
      </c>
    </row>
    <row r="134" spans="2:4" x14ac:dyDescent="0.3">
      <c r="B134" s="110" t="s">
        <v>523</v>
      </c>
      <c r="C134" s="112">
        <v>0</v>
      </c>
      <c r="D134" s="34" t="s">
        <v>287</v>
      </c>
    </row>
    <row r="135" spans="2:4" x14ac:dyDescent="0.3">
      <c r="B135" s="110" t="s">
        <v>524</v>
      </c>
      <c r="C135" s="112">
        <v>0</v>
      </c>
      <c r="D135" s="34" t="s">
        <v>287</v>
      </c>
    </row>
    <row r="136" spans="2:4" x14ac:dyDescent="0.3">
      <c r="B136" s="110" t="s">
        <v>525</v>
      </c>
      <c r="C136" s="112">
        <v>0</v>
      </c>
      <c r="D136" s="34" t="s">
        <v>287</v>
      </c>
    </row>
    <row r="137" spans="2:4" x14ac:dyDescent="0.3">
      <c r="B137" s="110" t="s">
        <v>526</v>
      </c>
      <c r="C137" s="112">
        <v>0.215</v>
      </c>
      <c r="D137" s="34" t="s">
        <v>287</v>
      </c>
    </row>
    <row r="138" spans="2:4" x14ac:dyDescent="0.3">
      <c r="B138" s="110" t="s">
        <v>527</v>
      </c>
      <c r="C138" s="112">
        <v>0</v>
      </c>
      <c r="D138" s="34" t="s">
        <v>287</v>
      </c>
    </row>
    <row r="139" spans="2:4" x14ac:dyDescent="0.3">
      <c r="B139" s="110" t="s">
        <v>528</v>
      </c>
      <c r="C139" s="112">
        <v>0</v>
      </c>
      <c r="D139" s="34" t="s">
        <v>287</v>
      </c>
    </row>
    <row r="140" spans="2:4" x14ac:dyDescent="0.3">
      <c r="B140" s="110" t="s">
        <v>529</v>
      </c>
      <c r="C140" s="112">
        <v>0</v>
      </c>
      <c r="D140" s="34" t="s">
        <v>287</v>
      </c>
    </row>
    <row r="141" spans="2:4" x14ac:dyDescent="0.3">
      <c r="B141" s="110" t="s">
        <v>530</v>
      </c>
      <c r="C141" s="112">
        <v>0</v>
      </c>
      <c r="D141" s="34" t="s">
        <v>287</v>
      </c>
    </row>
    <row r="142" spans="2:4" x14ac:dyDescent="0.3">
      <c r="B142" s="110" t="s">
        <v>531</v>
      </c>
      <c r="C142" s="112">
        <v>0.254</v>
      </c>
      <c r="D142" s="34" t="s">
        <v>287</v>
      </c>
    </row>
    <row r="143" spans="2:4" x14ac:dyDescent="0.3">
      <c r="B143" s="110" t="s">
        <v>532</v>
      </c>
      <c r="C143" s="112">
        <v>0</v>
      </c>
      <c r="D143" s="34" t="s">
        <v>287</v>
      </c>
    </row>
    <row r="144" spans="2:4" x14ac:dyDescent="0.3">
      <c r="B144" s="110" t="s">
        <v>533</v>
      </c>
      <c r="C144" s="112">
        <v>0</v>
      </c>
      <c r="D144" s="34" t="s">
        <v>287</v>
      </c>
    </row>
    <row r="145" spans="2:4" x14ac:dyDescent="0.3">
      <c r="B145" s="110" t="s">
        <v>534</v>
      </c>
      <c r="C145" s="112">
        <v>0</v>
      </c>
      <c r="D145" s="34" t="s">
        <v>287</v>
      </c>
    </row>
    <row r="146" spans="2:4" x14ac:dyDescent="0.3">
      <c r="B146" s="110" t="s">
        <v>535</v>
      </c>
      <c r="C146" s="112">
        <v>0.251</v>
      </c>
      <c r="D146" s="34" t="s">
        <v>287</v>
      </c>
    </row>
    <row r="147" spans="2:4" x14ac:dyDescent="0.3">
      <c r="B147" s="110" t="s">
        <v>536</v>
      </c>
      <c r="C147" s="112">
        <v>0</v>
      </c>
      <c r="D147" s="34" t="s">
        <v>287</v>
      </c>
    </row>
    <row r="148" spans="2:4" x14ac:dyDescent="0.3">
      <c r="B148" s="110" t="s">
        <v>537</v>
      </c>
      <c r="C148" s="112">
        <v>0</v>
      </c>
      <c r="D148" s="34" t="s">
        <v>287</v>
      </c>
    </row>
    <row r="149" spans="2:4" x14ac:dyDescent="0.3">
      <c r="B149" s="110" t="s">
        <v>538</v>
      </c>
      <c r="C149" s="112">
        <v>0.04</v>
      </c>
      <c r="D149" s="34" t="s">
        <v>287</v>
      </c>
    </row>
    <row r="150" spans="2:4" x14ac:dyDescent="0.3">
      <c r="B150" s="110" t="s">
        <v>539</v>
      </c>
      <c r="C150" s="112">
        <v>0</v>
      </c>
      <c r="D150" s="34" t="s">
        <v>287</v>
      </c>
    </row>
    <row r="151" spans="2:4" x14ac:dyDescent="0.3">
      <c r="B151" s="110" t="s">
        <v>540</v>
      </c>
      <c r="C151" s="112">
        <v>0</v>
      </c>
      <c r="D151" s="34" t="s">
        <v>287</v>
      </c>
    </row>
    <row r="152" spans="2:4" x14ac:dyDescent="0.3">
      <c r="B152" s="110" t="s">
        <v>541</v>
      </c>
      <c r="C152" s="112">
        <v>0</v>
      </c>
      <c r="D152" s="34" t="s">
        <v>287</v>
      </c>
    </row>
    <row r="153" spans="2:4" x14ac:dyDescent="0.3">
      <c r="B153" s="110" t="s">
        <v>542</v>
      </c>
      <c r="C153" s="112">
        <v>0.186</v>
      </c>
      <c r="D153" s="34" t="s">
        <v>287</v>
      </c>
    </row>
    <row r="154" spans="2:4" x14ac:dyDescent="0.3">
      <c r="B154" s="110" t="s">
        <v>543</v>
      </c>
      <c r="C154" s="112">
        <v>0</v>
      </c>
      <c r="D154" s="34" t="s">
        <v>287</v>
      </c>
    </row>
    <row r="155" spans="2:4" x14ac:dyDescent="0.3">
      <c r="B155" s="110" t="s">
        <v>544</v>
      </c>
      <c r="C155" s="112">
        <v>0</v>
      </c>
      <c r="D155" s="34" t="s">
        <v>287</v>
      </c>
    </row>
    <row r="156" spans="2:4" x14ac:dyDescent="0.3">
      <c r="B156" s="110" t="s">
        <v>545</v>
      </c>
      <c r="C156" s="112">
        <v>0.17199999999999999</v>
      </c>
      <c r="D156" s="34" t="s">
        <v>287</v>
      </c>
    </row>
    <row r="157" spans="2:4" x14ac:dyDescent="0.3">
      <c r="B157" s="110" t="s">
        <v>546</v>
      </c>
      <c r="C157" s="112">
        <v>0</v>
      </c>
      <c r="D157" s="34" t="s">
        <v>287</v>
      </c>
    </row>
    <row r="158" spans="2:4" x14ac:dyDescent="0.3">
      <c r="B158" s="110" t="s">
        <v>547</v>
      </c>
      <c r="C158" s="112">
        <v>0</v>
      </c>
      <c r="D158" s="34" t="s">
        <v>287</v>
      </c>
    </row>
    <row r="159" spans="2:4" x14ac:dyDescent="0.3">
      <c r="B159" s="110" t="s">
        <v>548</v>
      </c>
      <c r="C159" s="112">
        <v>0.24399999999999999</v>
      </c>
      <c r="D159" s="34" t="s">
        <v>287</v>
      </c>
    </row>
    <row r="160" spans="2:4" x14ac:dyDescent="0.3">
      <c r="B160" s="110" t="s">
        <v>549</v>
      </c>
      <c r="C160" s="112">
        <v>0</v>
      </c>
      <c r="D160" s="34" t="s">
        <v>287</v>
      </c>
    </row>
    <row r="161" spans="2:4" x14ac:dyDescent="0.3">
      <c r="B161" s="110" t="s">
        <v>550</v>
      </c>
      <c r="C161" s="112">
        <v>0</v>
      </c>
      <c r="D161" s="34" t="s">
        <v>287</v>
      </c>
    </row>
    <row r="162" spans="2:4" x14ac:dyDescent="0.3">
      <c r="B162" s="110" t="s">
        <v>551</v>
      </c>
      <c r="C162" s="112">
        <v>0</v>
      </c>
      <c r="D162" s="34" t="s">
        <v>287</v>
      </c>
    </row>
    <row r="163" spans="2:4" x14ac:dyDescent="0.3">
      <c r="B163" s="110" t="s">
        <v>552</v>
      </c>
      <c r="C163" s="112">
        <v>0</v>
      </c>
      <c r="D163" s="34" t="s">
        <v>287</v>
      </c>
    </row>
    <row r="164" spans="2:4" x14ac:dyDescent="0.3">
      <c r="B164" s="110" t="s">
        <v>553</v>
      </c>
      <c r="C164" s="112">
        <v>0</v>
      </c>
      <c r="D164" s="34" t="s">
        <v>287</v>
      </c>
    </row>
    <row r="165" spans="2:4" x14ac:dyDescent="0.3">
      <c r="B165" s="110" t="s">
        <v>554</v>
      </c>
      <c r="C165" s="112">
        <v>0</v>
      </c>
      <c r="D165" s="34" t="s">
        <v>287</v>
      </c>
    </row>
    <row r="166" spans="2:4" x14ac:dyDescent="0.3">
      <c r="B166" s="110" t="s">
        <v>555</v>
      </c>
      <c r="C166" s="112">
        <v>0</v>
      </c>
      <c r="D166" s="34" t="s">
        <v>287</v>
      </c>
    </row>
    <row r="167" spans="2:4" x14ac:dyDescent="0.3">
      <c r="B167" s="110" t="s">
        <v>556</v>
      </c>
      <c r="C167" s="112">
        <v>0</v>
      </c>
      <c r="D167" s="34" t="s">
        <v>287</v>
      </c>
    </row>
    <row r="168" spans="2:4" x14ac:dyDescent="0.3">
      <c r="B168" s="110" t="s">
        <v>557</v>
      </c>
      <c r="C168" s="112">
        <v>0</v>
      </c>
      <c r="D168" s="34" t="s">
        <v>287</v>
      </c>
    </row>
    <row r="169" spans="2:4" x14ac:dyDescent="0.3">
      <c r="B169" s="110" t="s">
        <v>558</v>
      </c>
      <c r="C169" s="112">
        <v>1.2E-2</v>
      </c>
      <c r="D169" s="34" t="s">
        <v>287</v>
      </c>
    </row>
    <row r="170" spans="2:4" x14ac:dyDescent="0.3">
      <c r="B170" s="110" t="s">
        <v>559</v>
      </c>
      <c r="C170" s="112">
        <v>0</v>
      </c>
      <c r="D170" s="34" t="s">
        <v>287</v>
      </c>
    </row>
    <row r="171" spans="2:4" x14ac:dyDescent="0.3">
      <c r="B171" s="110" t="s">
        <v>560</v>
      </c>
      <c r="C171" s="112">
        <v>0.25900000000000001</v>
      </c>
      <c r="D171" s="34" t="s">
        <v>287</v>
      </c>
    </row>
    <row r="172" spans="2:4" x14ac:dyDescent="0.3">
      <c r="B172" s="110" t="s">
        <v>561</v>
      </c>
      <c r="C172" s="112">
        <v>0</v>
      </c>
      <c r="D172" s="34" t="s">
        <v>287</v>
      </c>
    </row>
    <row r="173" spans="2:4" x14ac:dyDescent="0.3">
      <c r="B173" s="110" t="s">
        <v>562</v>
      </c>
      <c r="C173" s="112">
        <v>4.0000000000000001E-3</v>
      </c>
      <c r="D173" s="34" t="s">
        <v>287</v>
      </c>
    </row>
    <row r="174" spans="2:4" x14ac:dyDescent="0.3">
      <c r="B174" s="110" t="s">
        <v>563</v>
      </c>
      <c r="C174" s="112">
        <v>0</v>
      </c>
      <c r="D174" s="34" t="s">
        <v>287</v>
      </c>
    </row>
    <row r="175" spans="2:4" x14ac:dyDescent="0.3">
      <c r="B175" s="110" t="s">
        <v>564</v>
      </c>
      <c r="C175" s="112">
        <v>0</v>
      </c>
      <c r="D175" s="34" t="s">
        <v>287</v>
      </c>
    </row>
    <row r="176" spans="2:4" x14ac:dyDescent="0.3">
      <c r="B176" s="110" t="s">
        <v>565</v>
      </c>
      <c r="C176" s="112">
        <v>0.20799999999999999</v>
      </c>
      <c r="D176" s="34" t="s">
        <v>287</v>
      </c>
    </row>
    <row r="177" spans="2:4" x14ac:dyDescent="0.3">
      <c r="B177" s="110" t="s">
        <v>566</v>
      </c>
      <c r="C177" s="112">
        <v>0</v>
      </c>
      <c r="D177" s="34" t="s">
        <v>287</v>
      </c>
    </row>
    <row r="178" spans="2:4" x14ac:dyDescent="0.3">
      <c r="B178" s="110" t="s">
        <v>567</v>
      </c>
      <c r="C178" s="112">
        <v>0</v>
      </c>
      <c r="D178" s="34" t="s">
        <v>287</v>
      </c>
    </row>
    <row r="179" spans="2:4" x14ac:dyDescent="0.3">
      <c r="B179" s="110" t="s">
        <v>568</v>
      </c>
      <c r="C179" s="112">
        <v>0</v>
      </c>
      <c r="D179" s="34" t="s">
        <v>287</v>
      </c>
    </row>
    <row r="180" spans="2:4" x14ac:dyDescent="0.3">
      <c r="B180" s="110" t="s">
        <v>569</v>
      </c>
      <c r="C180" s="112">
        <v>0</v>
      </c>
      <c r="D180" s="34" t="s">
        <v>287</v>
      </c>
    </row>
    <row r="181" spans="2:4" x14ac:dyDescent="0.3">
      <c r="B181" s="110" t="s">
        <v>570</v>
      </c>
      <c r="C181" s="112">
        <v>0.17</v>
      </c>
      <c r="D181" s="34" t="s">
        <v>287</v>
      </c>
    </row>
    <row r="182" spans="2:4" x14ac:dyDescent="0.3">
      <c r="B182" s="110" t="s">
        <v>571</v>
      </c>
      <c r="C182" s="112">
        <v>0</v>
      </c>
      <c r="D182" s="34" t="s">
        <v>287</v>
      </c>
    </row>
    <row r="183" spans="2:4" x14ac:dyDescent="0.3">
      <c r="B183" s="110" t="s">
        <v>572</v>
      </c>
      <c r="C183" s="112">
        <v>0</v>
      </c>
      <c r="D183" s="34" t="s">
        <v>287</v>
      </c>
    </row>
    <row r="184" spans="2:4" x14ac:dyDescent="0.3">
      <c r="B184" s="110" t="s">
        <v>573</v>
      </c>
      <c r="C184" s="112">
        <v>0</v>
      </c>
      <c r="D184" s="34" t="s">
        <v>287</v>
      </c>
    </row>
    <row r="185" spans="2:4" x14ac:dyDescent="0.3">
      <c r="B185" s="110" t="s">
        <v>574</v>
      </c>
      <c r="C185" s="112">
        <v>0</v>
      </c>
      <c r="D185" s="34" t="s">
        <v>287</v>
      </c>
    </row>
    <row r="186" spans="2:4" x14ac:dyDescent="0.3">
      <c r="B186" s="110" t="s">
        <v>575</v>
      </c>
      <c r="C186" s="112">
        <v>0</v>
      </c>
      <c r="D186" s="34" t="s">
        <v>287</v>
      </c>
    </row>
    <row r="187" spans="2:4" x14ac:dyDescent="0.3">
      <c r="B187" s="110" t="s">
        <v>576</v>
      </c>
      <c r="C187" s="112">
        <v>0</v>
      </c>
      <c r="D187" s="34" t="s">
        <v>287</v>
      </c>
    </row>
    <row r="188" spans="2:4" x14ac:dyDescent="0.3">
      <c r="B188" s="110" t="s">
        <v>577</v>
      </c>
      <c r="C188" s="112">
        <v>0</v>
      </c>
      <c r="D188" s="34" t="s">
        <v>287</v>
      </c>
    </row>
    <row r="189" spans="2:4" x14ac:dyDescent="0.3">
      <c r="B189" s="110" t="s">
        <v>578</v>
      </c>
      <c r="C189" s="112">
        <v>0</v>
      </c>
      <c r="D189" s="34" t="s">
        <v>287</v>
      </c>
    </row>
    <row r="190" spans="2:4" x14ac:dyDescent="0.3">
      <c r="B190" s="110" t="s">
        <v>579</v>
      </c>
      <c r="C190" s="112">
        <v>0</v>
      </c>
      <c r="D190" s="34" t="s">
        <v>287</v>
      </c>
    </row>
    <row r="191" spans="2:4" x14ac:dyDescent="0.3">
      <c r="B191" s="110" t="s">
        <v>580</v>
      </c>
      <c r="C191" s="112">
        <v>0</v>
      </c>
      <c r="D191" s="34" t="s">
        <v>287</v>
      </c>
    </row>
    <row r="192" spans="2:4" x14ac:dyDescent="0.3">
      <c r="B192" s="110" t="s">
        <v>581</v>
      </c>
      <c r="C192" s="112">
        <v>0</v>
      </c>
      <c r="D192" s="34" t="s">
        <v>287</v>
      </c>
    </row>
    <row r="193" spans="2:4" x14ac:dyDescent="0.3">
      <c r="B193" s="110" t="s">
        <v>582</v>
      </c>
      <c r="C193" s="112">
        <v>0</v>
      </c>
      <c r="D193" s="34" t="s">
        <v>287</v>
      </c>
    </row>
    <row r="194" spans="2:4" x14ac:dyDescent="0.3">
      <c r="B194" s="110" t="s">
        <v>583</v>
      </c>
      <c r="C194" s="112">
        <v>4.0000000000000001E-3</v>
      </c>
      <c r="D194" s="34" t="s">
        <v>287</v>
      </c>
    </row>
    <row r="195" spans="2:4" x14ac:dyDescent="0.3">
      <c r="B195" s="110" t="s">
        <v>584</v>
      </c>
      <c r="C195" s="112">
        <v>0</v>
      </c>
      <c r="D195" s="34" t="s">
        <v>287</v>
      </c>
    </row>
    <row r="196" spans="2:4" x14ac:dyDescent="0.3">
      <c r="B196" s="110" t="s">
        <v>585</v>
      </c>
      <c r="C196" s="112">
        <v>0.25900000000000001</v>
      </c>
      <c r="D196" s="34" t="s">
        <v>287</v>
      </c>
    </row>
    <row r="197" spans="2:4" x14ac:dyDescent="0.3">
      <c r="B197" s="110" t="s">
        <v>586</v>
      </c>
      <c r="C197" s="112">
        <v>0</v>
      </c>
      <c r="D197" s="34" t="s">
        <v>287</v>
      </c>
    </row>
    <row r="198" spans="2:4" x14ac:dyDescent="0.3">
      <c r="B198" s="110" t="s">
        <v>587</v>
      </c>
      <c r="C198" s="112">
        <v>0</v>
      </c>
      <c r="D198" s="34" t="s">
        <v>287</v>
      </c>
    </row>
    <row r="199" spans="2:4" x14ac:dyDescent="0.3">
      <c r="B199" s="110" t="s">
        <v>588</v>
      </c>
      <c r="C199" s="112">
        <v>0</v>
      </c>
      <c r="D199" s="34" t="s">
        <v>287</v>
      </c>
    </row>
    <row r="200" spans="2:4" x14ac:dyDescent="0.3">
      <c r="B200" s="110" t="s">
        <v>589</v>
      </c>
      <c r="C200" s="112">
        <v>0</v>
      </c>
      <c r="D200" s="34" t="s">
        <v>287</v>
      </c>
    </row>
    <row r="201" spans="2:4" x14ac:dyDescent="0.3">
      <c r="B201" s="110" t="s">
        <v>590</v>
      </c>
      <c r="C201" s="112">
        <v>0</v>
      </c>
      <c r="D201" s="34" t="s">
        <v>287</v>
      </c>
    </row>
    <row r="202" spans="2:4" x14ac:dyDescent="0.3">
      <c r="B202" s="110" t="s">
        <v>591</v>
      </c>
      <c r="C202" s="112">
        <v>0.25900000000000001</v>
      </c>
      <c r="D202" s="34" t="s">
        <v>287</v>
      </c>
    </row>
    <row r="203" spans="2:4" x14ac:dyDescent="0.3">
      <c r="B203" s="110" t="s">
        <v>592</v>
      </c>
      <c r="C203" s="112">
        <v>0</v>
      </c>
      <c r="D203" s="34" t="s">
        <v>287</v>
      </c>
    </row>
    <row r="204" spans="2:4" x14ac:dyDescent="0.3">
      <c r="B204" s="110" t="s">
        <v>593</v>
      </c>
      <c r="C204" s="112">
        <v>0</v>
      </c>
      <c r="D204" s="34" t="s">
        <v>287</v>
      </c>
    </row>
    <row r="205" spans="2:4" x14ac:dyDescent="0.3">
      <c r="B205" s="110" t="s">
        <v>594</v>
      </c>
      <c r="C205" s="112">
        <v>0</v>
      </c>
      <c r="D205" s="34" t="s">
        <v>287</v>
      </c>
    </row>
    <row r="206" spans="2:4" x14ac:dyDescent="0.3">
      <c r="B206" s="110" t="s">
        <v>595</v>
      </c>
      <c r="C206" s="112">
        <v>0</v>
      </c>
      <c r="D206" s="34" t="s">
        <v>287</v>
      </c>
    </row>
    <row r="207" spans="2:4" x14ac:dyDescent="0.3">
      <c r="B207" s="19" t="s">
        <v>288</v>
      </c>
    </row>
  </sheetData>
  <sheetProtection algorithmName="SHA-512" hashValue="qNHboOig2pyp4txMaPzX6esvlJB4t801zqkmenbC8LoPY2ZBEjaIdzCES9qOPXnonP0u1kTZIHZRP0UGcCJR0w==" saltValue="nhDl9XY5pG4+y9VW9SeMHQ==" spinCount="100000" sheet="1" objects="1" scenarios="1"/>
  <protectedRanges>
    <protectedRange sqref="G67:G68" name="Rango1"/>
    <protectedRange sqref="H67:H68" name="Rango1_1"/>
  </protectedRanges>
  <mergeCells count="1">
    <mergeCell ref="G7:I8"/>
  </mergeCells>
  <hyperlinks>
    <hyperlink ref="B103" r:id="rId1" display="https://gdo.cnmc.es/CNE/accesoEtiquetado.do" xr:uid="{00000000-0004-0000-0500-00000D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9CA89-96CA-4004-ABAA-24B05B863FEE}">
  <sheetPr>
    <tabColor theme="3" tint="0.39997558519241921"/>
  </sheetPr>
  <dimension ref="B2:H142"/>
  <sheetViews>
    <sheetView tabSelected="1" topLeftCell="A32" workbookViewId="0">
      <selection activeCell="C70" sqref="C70"/>
    </sheetView>
  </sheetViews>
  <sheetFormatPr baseColWidth="10" defaultColWidth="9.109375" defaultRowHeight="15" customHeight="1" x14ac:dyDescent="0.3"/>
  <cols>
    <col min="1" max="1" width="9.109375" style="1"/>
    <col min="2" max="2" width="36.33203125" style="1" customWidth="1"/>
    <col min="3" max="3" width="36.88671875" style="1" customWidth="1"/>
    <col min="4" max="4" width="26.44140625" style="1" customWidth="1"/>
    <col min="5" max="5" width="30" style="1" customWidth="1"/>
    <col min="6" max="6" width="30.5546875" style="1" customWidth="1"/>
    <col min="7" max="7" width="22.44140625" style="1" customWidth="1"/>
    <col min="8" max="8" width="31.44140625" style="1" customWidth="1"/>
    <col min="9" max="9" width="17.33203125" style="1" customWidth="1"/>
    <col min="10" max="10" width="17.109375" style="1" customWidth="1"/>
    <col min="11" max="11" width="17" style="1" customWidth="1"/>
    <col min="12" max="12" width="19.6640625" style="1" customWidth="1"/>
    <col min="13" max="16384" width="9.109375" style="1"/>
  </cols>
  <sheetData>
    <row r="2" spans="2:7" ht="14.4" x14ac:dyDescent="0.3">
      <c r="B2" s="143" t="s">
        <v>596</v>
      </c>
    </row>
    <row r="4" spans="2:7" ht="14.4" x14ac:dyDescent="0.3">
      <c r="B4" s="143" t="s">
        <v>597</v>
      </c>
    </row>
    <row r="5" spans="2:7" ht="14.4" x14ac:dyDescent="0.3">
      <c r="B5" s="38"/>
    </row>
    <row r="6" spans="2:7" ht="15" customHeight="1" x14ac:dyDescent="0.3">
      <c r="F6" s="81" t="s">
        <v>121</v>
      </c>
      <c r="G6" s="81" t="s">
        <v>279</v>
      </c>
    </row>
    <row r="7" spans="2:7" ht="14.4" x14ac:dyDescent="0.3">
      <c r="B7" s="265" t="s">
        <v>598</v>
      </c>
      <c r="C7" s="48" t="s">
        <v>599</v>
      </c>
      <c r="D7" s="82" t="s">
        <v>193</v>
      </c>
      <c r="E7" s="82" t="str">
        <f>CONCATENATE(D7,$B$7)</f>
        <v>CocheGasolina  (l)</v>
      </c>
      <c r="F7" s="82">
        <v>2.2269999999999999</v>
      </c>
      <c r="G7" s="31" t="s">
        <v>600</v>
      </c>
    </row>
    <row r="8" spans="2:7" ht="14.4" x14ac:dyDescent="0.3">
      <c r="B8" s="266"/>
      <c r="C8" s="48" t="s">
        <v>601</v>
      </c>
      <c r="D8" s="82" t="s">
        <v>154</v>
      </c>
      <c r="E8" s="82" t="str">
        <f t="shared" ref="E8:E11" si="0">CONCATENATE(D8,$B$7)</f>
        <v>FurgonetaGasolina  (l)</v>
      </c>
      <c r="F8" s="82">
        <v>2.246</v>
      </c>
      <c r="G8" s="31" t="s">
        <v>600</v>
      </c>
    </row>
    <row r="9" spans="2:7" ht="14.4" x14ac:dyDescent="0.3">
      <c r="B9" s="266"/>
      <c r="C9" s="48" t="s">
        <v>602</v>
      </c>
      <c r="D9" s="82" t="s">
        <v>603</v>
      </c>
      <c r="E9" s="82"/>
      <c r="F9" s="82">
        <v>2.23</v>
      </c>
      <c r="G9" s="31" t="s">
        <v>600</v>
      </c>
    </row>
    <row r="10" spans="2:7" ht="14.4" x14ac:dyDescent="0.3">
      <c r="B10" s="266"/>
      <c r="C10" s="48" t="s">
        <v>604</v>
      </c>
      <c r="D10" s="82" t="s">
        <v>170</v>
      </c>
      <c r="E10" s="82" t="str">
        <f t="shared" si="0"/>
        <v>CiclomotorGasolina  (l)</v>
      </c>
      <c r="F10" s="82">
        <v>2.2850000000000001</v>
      </c>
      <c r="G10" s="31" t="s">
        <v>600</v>
      </c>
    </row>
    <row r="11" spans="2:7" ht="14.4" x14ac:dyDescent="0.3">
      <c r="B11" s="267"/>
      <c r="C11" s="48" t="s">
        <v>605</v>
      </c>
      <c r="D11" s="82" t="s">
        <v>606</v>
      </c>
      <c r="E11" s="82" t="str">
        <f t="shared" si="0"/>
        <v>MotocicletaGasolina  (l)</v>
      </c>
      <c r="F11" s="82">
        <v>2.3220000000000001</v>
      </c>
      <c r="G11" s="31" t="s">
        <v>600</v>
      </c>
    </row>
    <row r="12" spans="2:7" ht="14.4" x14ac:dyDescent="0.3">
      <c r="B12" s="265" t="s">
        <v>607</v>
      </c>
      <c r="C12" s="48" t="s">
        <v>599</v>
      </c>
      <c r="D12" s="82" t="s">
        <v>193</v>
      </c>
      <c r="E12" s="82" t="str">
        <f>CONCATENATE(D12,$B$12)</f>
        <v>CocheE5 (l)</v>
      </c>
      <c r="F12" s="82">
        <v>2.2490000000000001</v>
      </c>
      <c r="G12" s="31" t="s">
        <v>600</v>
      </c>
    </row>
    <row r="13" spans="2:7" ht="14.4" x14ac:dyDescent="0.3">
      <c r="B13" s="266"/>
      <c r="C13" s="48" t="s">
        <v>601</v>
      </c>
      <c r="D13" s="82" t="s">
        <v>154</v>
      </c>
      <c r="E13" s="82" t="str">
        <f t="shared" ref="E13:E16" si="1">CONCATENATE(D13,$B$12)</f>
        <v>FurgonetaE5 (l)</v>
      </c>
      <c r="F13" s="82">
        <v>2.246</v>
      </c>
      <c r="G13" s="31" t="s">
        <v>600</v>
      </c>
    </row>
    <row r="14" spans="2:7" ht="14.4" x14ac:dyDescent="0.3">
      <c r="B14" s="266"/>
      <c r="C14" s="48" t="s">
        <v>602</v>
      </c>
      <c r="D14" s="82" t="s">
        <v>603</v>
      </c>
      <c r="E14" s="82"/>
      <c r="F14" s="82">
        <v>2.254</v>
      </c>
      <c r="G14" s="31" t="s">
        <v>600</v>
      </c>
    </row>
    <row r="15" spans="2:7" ht="14.4" x14ac:dyDescent="0.3">
      <c r="B15" s="266"/>
      <c r="C15" s="48" t="s">
        <v>604</v>
      </c>
      <c r="D15" s="82" t="s">
        <v>170</v>
      </c>
      <c r="E15" s="82" t="str">
        <f t="shared" si="1"/>
        <v>CiclomotorE5 (l)</v>
      </c>
      <c r="F15" s="82">
        <v>2.3079999999999998</v>
      </c>
      <c r="G15" s="31" t="s">
        <v>600</v>
      </c>
    </row>
    <row r="16" spans="2:7" ht="14.4" x14ac:dyDescent="0.3">
      <c r="B16" s="267"/>
      <c r="C16" s="48" t="s">
        <v>605</v>
      </c>
      <c r="D16" s="82" t="s">
        <v>606</v>
      </c>
      <c r="E16" s="82" t="str">
        <f t="shared" si="1"/>
        <v>MotocicletaE5 (l)</v>
      </c>
      <c r="F16" s="82">
        <v>2.3370000000000002</v>
      </c>
      <c r="G16" s="31" t="s">
        <v>600</v>
      </c>
    </row>
    <row r="17" spans="2:7" ht="14.4" x14ac:dyDescent="0.3">
      <c r="B17" s="265" t="s">
        <v>608</v>
      </c>
      <c r="C17" s="48" t="s">
        <v>599</v>
      </c>
      <c r="D17" s="82" t="s">
        <v>193</v>
      </c>
      <c r="E17" s="82" t="str">
        <f>CONCATENATE(D17,$B$17)</f>
        <v>CocheE10 (l)</v>
      </c>
      <c r="F17" s="82">
        <v>2.1309999999999998</v>
      </c>
      <c r="G17" s="31" t="s">
        <v>600</v>
      </c>
    </row>
    <row r="18" spans="2:7" ht="14.4" x14ac:dyDescent="0.3">
      <c r="B18" s="266"/>
      <c r="C18" s="48" t="s">
        <v>601</v>
      </c>
      <c r="D18" s="82" t="s">
        <v>154</v>
      </c>
      <c r="E18" s="82" t="str">
        <f t="shared" ref="E18:E21" si="2">CONCATENATE(D18,$B$17)</f>
        <v>FurgonetaE10 (l)</v>
      </c>
      <c r="F18" s="82">
        <v>2.1280000000000001</v>
      </c>
      <c r="G18" s="31" t="s">
        <v>600</v>
      </c>
    </row>
    <row r="19" spans="2:7" ht="14.4" x14ac:dyDescent="0.3">
      <c r="B19" s="266"/>
      <c r="C19" s="48" t="s">
        <v>602</v>
      </c>
      <c r="D19" s="82" t="s">
        <v>603</v>
      </c>
      <c r="E19" s="82"/>
      <c r="F19" s="82">
        <v>2.1360000000000001</v>
      </c>
      <c r="G19" s="31" t="s">
        <v>600</v>
      </c>
    </row>
    <row r="20" spans="2:7" ht="14.4" x14ac:dyDescent="0.3">
      <c r="B20" s="266"/>
      <c r="C20" s="48" t="s">
        <v>604</v>
      </c>
      <c r="D20" s="82" t="s">
        <v>170</v>
      </c>
      <c r="E20" s="82" t="str">
        <f t="shared" si="2"/>
        <v>CiclomotorE10 (l)</v>
      </c>
      <c r="F20" s="82">
        <v>2.1909999999999998</v>
      </c>
      <c r="G20" s="31" t="s">
        <v>600</v>
      </c>
    </row>
    <row r="21" spans="2:7" ht="14.4" x14ac:dyDescent="0.3">
      <c r="B21" s="267"/>
      <c r="C21" s="48" t="s">
        <v>605</v>
      </c>
      <c r="D21" s="82" t="s">
        <v>606</v>
      </c>
      <c r="E21" s="82" t="str">
        <f t="shared" si="2"/>
        <v>MotocicletaE10 (l)</v>
      </c>
      <c r="F21" s="82">
        <v>2.2200000000000002</v>
      </c>
      <c r="G21" s="31" t="s">
        <v>600</v>
      </c>
    </row>
    <row r="22" spans="2:7" ht="14.4" x14ac:dyDescent="0.3">
      <c r="B22" s="265" t="s">
        <v>609</v>
      </c>
      <c r="C22" s="48" t="s">
        <v>599</v>
      </c>
      <c r="D22" s="82" t="s">
        <v>193</v>
      </c>
      <c r="E22" s="82" t="str">
        <f>CONCATENATE(D22,$B$22)</f>
        <v>CocheE85 (l)</v>
      </c>
      <c r="F22" s="82">
        <v>0.371</v>
      </c>
      <c r="G22" s="31" t="s">
        <v>600</v>
      </c>
    </row>
    <row r="23" spans="2:7" ht="14.4" x14ac:dyDescent="0.3">
      <c r="B23" s="266"/>
      <c r="C23" s="48" t="s">
        <v>601</v>
      </c>
      <c r="D23" s="82" t="s">
        <v>154</v>
      </c>
      <c r="E23" s="82" t="str">
        <f t="shared" ref="E23:E26" si="3">CONCATENATE(D23,$B$22)</f>
        <v>FurgonetaE85 (l)</v>
      </c>
      <c r="F23" s="82">
        <v>0.36799999999999999</v>
      </c>
      <c r="G23" s="31" t="s">
        <v>600</v>
      </c>
    </row>
    <row r="24" spans="2:7" ht="14.4" x14ac:dyDescent="0.3">
      <c r="B24" s="266"/>
      <c r="C24" s="48" t="s">
        <v>602</v>
      </c>
      <c r="D24" s="82" t="s">
        <v>603</v>
      </c>
      <c r="E24" s="82"/>
      <c r="F24" s="82">
        <v>0.376</v>
      </c>
      <c r="G24" s="31" t="s">
        <v>600</v>
      </c>
    </row>
    <row r="25" spans="2:7" ht="14.4" x14ac:dyDescent="0.3">
      <c r="B25" s="266"/>
      <c r="C25" s="48" t="s">
        <v>604</v>
      </c>
      <c r="D25" s="82" t="s">
        <v>170</v>
      </c>
      <c r="E25" s="82" t="str">
        <f t="shared" si="3"/>
        <v>CiclomotorE85 (l)</v>
      </c>
      <c r="F25" s="82">
        <v>0.43</v>
      </c>
      <c r="G25" s="31" t="s">
        <v>600</v>
      </c>
    </row>
    <row r="26" spans="2:7" ht="14.4" x14ac:dyDescent="0.3">
      <c r="B26" s="267"/>
      <c r="C26" s="48" t="s">
        <v>605</v>
      </c>
      <c r="D26" s="82" t="s">
        <v>606</v>
      </c>
      <c r="E26" s="82" t="str">
        <f t="shared" si="3"/>
        <v>MotocicletaE85 (l)</v>
      </c>
      <c r="F26" s="82">
        <v>0.45900000000000002</v>
      </c>
      <c r="G26" s="31" t="s">
        <v>600</v>
      </c>
    </row>
    <row r="27" spans="2:7" ht="14.4" x14ac:dyDescent="0.3">
      <c r="B27" s="265" t="s">
        <v>610</v>
      </c>
      <c r="C27" s="48" t="s">
        <v>599</v>
      </c>
      <c r="D27" s="82" t="s">
        <v>193</v>
      </c>
      <c r="E27" s="82" t="str">
        <f>CONCATENATE(D27,$B$27)</f>
        <v>CocheE100 (l)</v>
      </c>
      <c r="F27" s="82">
        <v>1.9E-2</v>
      </c>
      <c r="G27" s="31" t="s">
        <v>600</v>
      </c>
    </row>
    <row r="28" spans="2:7" ht="14.4" x14ac:dyDescent="0.3">
      <c r="B28" s="266"/>
      <c r="C28" s="48" t="s">
        <v>601</v>
      </c>
      <c r="D28" s="82" t="s">
        <v>154</v>
      </c>
      <c r="E28" s="82" t="str">
        <f t="shared" ref="E28:E31" si="4">CONCATENATE(D28,$B$27)</f>
        <v>FurgonetaE100 (l)</v>
      </c>
      <c r="F28" s="82">
        <v>1.6E-2</v>
      </c>
      <c r="G28" s="31" t="s">
        <v>600</v>
      </c>
    </row>
    <row r="29" spans="2:7" ht="14.4" x14ac:dyDescent="0.3">
      <c r="B29" s="266"/>
      <c r="C29" s="48" t="s">
        <v>602</v>
      </c>
      <c r="D29" s="82" t="s">
        <v>603</v>
      </c>
      <c r="E29" s="82"/>
      <c r="F29" s="82">
        <v>2.4E-2</v>
      </c>
      <c r="G29" s="31" t="s">
        <v>600</v>
      </c>
    </row>
    <row r="30" spans="2:7" ht="14.4" x14ac:dyDescent="0.3">
      <c r="B30" s="266"/>
      <c r="C30" s="48" t="s">
        <v>604</v>
      </c>
      <c r="D30" s="82" t="s">
        <v>170</v>
      </c>
      <c r="E30" s="82" t="str">
        <f t="shared" si="4"/>
        <v>CiclomotorE100 (l)</v>
      </c>
      <c r="F30" s="82">
        <v>7.8E-2</v>
      </c>
      <c r="G30" s="31" t="s">
        <v>600</v>
      </c>
    </row>
    <row r="31" spans="2:7" ht="14.4" x14ac:dyDescent="0.3">
      <c r="B31" s="267"/>
      <c r="C31" s="48" t="s">
        <v>605</v>
      </c>
      <c r="D31" s="82" t="s">
        <v>606</v>
      </c>
      <c r="E31" s="82" t="str">
        <f t="shared" si="4"/>
        <v>MotocicletaE100 (l)</v>
      </c>
      <c r="F31" s="82">
        <v>0.107</v>
      </c>
      <c r="G31" s="31" t="s">
        <v>600</v>
      </c>
    </row>
    <row r="32" spans="2:7" ht="14.4" x14ac:dyDescent="0.3">
      <c r="B32" s="265" t="s">
        <v>611</v>
      </c>
      <c r="C32" s="48" t="s">
        <v>599</v>
      </c>
      <c r="D32" s="82" t="s">
        <v>193</v>
      </c>
      <c r="E32" s="82" t="str">
        <f>CONCATENATE(D32,$B$32)</f>
        <v>CocheGasóleo (l)</v>
      </c>
      <c r="F32" s="82">
        <v>2.5430000000000001</v>
      </c>
      <c r="G32" s="31" t="s">
        <v>600</v>
      </c>
    </row>
    <row r="33" spans="2:7" ht="14.4" x14ac:dyDescent="0.3">
      <c r="B33" s="266"/>
      <c r="C33" s="48" t="s">
        <v>601</v>
      </c>
      <c r="D33" s="82" t="s">
        <v>154</v>
      </c>
      <c r="E33" s="82" t="str">
        <f t="shared" ref="E33:E35" si="5">CONCATENATE(D33,$B$32)</f>
        <v>FurgonetaGasóleo (l)</v>
      </c>
      <c r="F33" s="82">
        <v>2.5299999999999998</v>
      </c>
      <c r="G33" s="31" t="s">
        <v>600</v>
      </c>
    </row>
    <row r="34" spans="2:7" ht="14.4" x14ac:dyDescent="0.3">
      <c r="B34" s="266"/>
      <c r="C34" s="48" t="s">
        <v>602</v>
      </c>
      <c r="D34" s="82" t="s">
        <v>603</v>
      </c>
      <c r="E34" s="82"/>
      <c r="F34" s="82">
        <v>2.5390000000000001</v>
      </c>
      <c r="G34" s="31" t="s">
        <v>600</v>
      </c>
    </row>
    <row r="35" spans="2:7" ht="14.4" x14ac:dyDescent="0.3">
      <c r="B35" s="267"/>
      <c r="C35" s="48" t="s">
        <v>612</v>
      </c>
      <c r="D35" s="82" t="s">
        <v>176</v>
      </c>
      <c r="E35" s="82" t="str">
        <f t="shared" si="5"/>
        <v>AutobúsGasóleo (l)</v>
      </c>
      <c r="F35" s="82">
        <v>2.528</v>
      </c>
      <c r="G35" s="31" t="s">
        <v>600</v>
      </c>
    </row>
    <row r="36" spans="2:7" ht="14.4" x14ac:dyDescent="0.3">
      <c r="B36" s="265" t="s">
        <v>613</v>
      </c>
      <c r="C36" s="48" t="s">
        <v>599</v>
      </c>
      <c r="D36" s="82" t="s">
        <v>193</v>
      </c>
      <c r="E36" s="82" t="str">
        <f>CONCATENATE(D36,$B$36)</f>
        <v>CocheB7 (l)</v>
      </c>
      <c r="F36" s="82">
        <v>2.516</v>
      </c>
      <c r="G36" s="31" t="s">
        <v>600</v>
      </c>
    </row>
    <row r="37" spans="2:7" ht="14.4" x14ac:dyDescent="0.3">
      <c r="B37" s="266"/>
      <c r="C37" s="48" t="s">
        <v>601</v>
      </c>
      <c r="D37" s="82" t="s">
        <v>154</v>
      </c>
      <c r="E37" s="82" t="str">
        <f t="shared" ref="E37:E39" si="6">CONCATENATE(D37,$B$36)</f>
        <v>FurgonetaB7 (l)</v>
      </c>
      <c r="F37" s="82">
        <v>2.5049999999999999</v>
      </c>
      <c r="G37" s="31" t="s">
        <v>600</v>
      </c>
    </row>
    <row r="38" spans="2:7" ht="14.4" x14ac:dyDescent="0.3">
      <c r="B38" s="266"/>
      <c r="C38" s="48" t="s">
        <v>602</v>
      </c>
      <c r="D38" s="82" t="s">
        <v>603</v>
      </c>
      <c r="E38" s="82"/>
      <c r="F38" s="82">
        <v>2.52</v>
      </c>
      <c r="G38" s="31" t="s">
        <v>600</v>
      </c>
    </row>
    <row r="39" spans="2:7" ht="14.4" x14ac:dyDescent="0.3">
      <c r="B39" s="267"/>
      <c r="C39" s="48" t="s">
        <v>612</v>
      </c>
      <c r="D39" s="82" t="s">
        <v>176</v>
      </c>
      <c r="E39" s="82" t="str">
        <f t="shared" si="6"/>
        <v>AutobúsB7 (l)</v>
      </c>
      <c r="F39" s="82">
        <v>2.5059999999999998</v>
      </c>
      <c r="G39" s="31" t="s">
        <v>600</v>
      </c>
    </row>
    <row r="40" spans="2:7" ht="14.4" x14ac:dyDescent="0.3">
      <c r="B40" s="265" t="s">
        <v>614</v>
      </c>
      <c r="C40" s="48" t="s">
        <v>599</v>
      </c>
      <c r="D40" s="82" t="s">
        <v>193</v>
      </c>
      <c r="E40" s="82" t="str">
        <f>CONCATENATE(D40,$B$40)</f>
        <v>CocheB10 (l)</v>
      </c>
      <c r="F40" s="82">
        <v>2.4409999999999998</v>
      </c>
      <c r="G40" s="31" t="s">
        <v>600</v>
      </c>
    </row>
    <row r="41" spans="2:7" ht="14.4" x14ac:dyDescent="0.3">
      <c r="B41" s="266"/>
      <c r="C41" s="48" t="s">
        <v>601</v>
      </c>
      <c r="D41" s="82" t="s">
        <v>154</v>
      </c>
      <c r="E41" s="82" t="str">
        <f t="shared" ref="E41:E43" si="7">CONCATENATE(D41,$B$40)</f>
        <v>FurgonetaB10 (l)</v>
      </c>
      <c r="F41" s="82">
        <v>2.4289999999999998</v>
      </c>
      <c r="G41" s="31" t="s">
        <v>600</v>
      </c>
    </row>
    <row r="42" spans="2:7" ht="14.4" x14ac:dyDescent="0.3">
      <c r="B42" s="266"/>
      <c r="C42" s="48" t="s">
        <v>602</v>
      </c>
      <c r="D42" s="82" t="s">
        <v>603</v>
      </c>
      <c r="E42" s="82"/>
      <c r="F42" s="82">
        <v>2.4449999999999998</v>
      </c>
      <c r="G42" s="31" t="s">
        <v>600</v>
      </c>
    </row>
    <row r="43" spans="2:7" ht="14.4" x14ac:dyDescent="0.3">
      <c r="B43" s="267"/>
      <c r="C43" s="48" t="s">
        <v>612</v>
      </c>
      <c r="D43" s="82" t="s">
        <v>176</v>
      </c>
      <c r="E43" s="82" t="str">
        <f t="shared" si="7"/>
        <v>AutobúsB10 (l)</v>
      </c>
      <c r="F43" s="82">
        <v>2.431</v>
      </c>
      <c r="G43" s="31" t="s">
        <v>600</v>
      </c>
    </row>
    <row r="44" spans="2:7" ht="14.4" x14ac:dyDescent="0.3">
      <c r="B44" s="265" t="s">
        <v>615</v>
      </c>
      <c r="C44" s="48" t="s">
        <v>599</v>
      </c>
      <c r="D44" s="82" t="s">
        <v>193</v>
      </c>
      <c r="E44" s="82" t="str">
        <f>CONCATENATE(D44,$B$44)</f>
        <v>CocheB20 (l)</v>
      </c>
      <c r="F44" s="82">
        <v>2.1890000000000001</v>
      </c>
      <c r="G44" s="31" t="s">
        <v>600</v>
      </c>
    </row>
    <row r="45" spans="2:7" ht="14.4" x14ac:dyDescent="0.3">
      <c r="B45" s="266"/>
      <c r="C45" s="48" t="s">
        <v>601</v>
      </c>
      <c r="D45" s="82" t="s">
        <v>154</v>
      </c>
      <c r="E45" s="82" t="str">
        <f t="shared" ref="E45:E47" si="8">CONCATENATE(D45,$B$44)</f>
        <v>FurgonetaB20 (l)</v>
      </c>
      <c r="F45" s="82">
        <v>2.177</v>
      </c>
      <c r="G45" s="31" t="s">
        <v>600</v>
      </c>
    </row>
    <row r="46" spans="2:7" ht="14.4" x14ac:dyDescent="0.3">
      <c r="B46" s="266"/>
      <c r="C46" s="48" t="s">
        <v>602</v>
      </c>
      <c r="D46" s="82" t="s">
        <v>603</v>
      </c>
      <c r="E46" s="82"/>
      <c r="F46" s="82">
        <v>2.1930000000000001</v>
      </c>
      <c r="G46" s="31" t="s">
        <v>600</v>
      </c>
    </row>
    <row r="47" spans="2:7" ht="14.4" x14ac:dyDescent="0.3">
      <c r="B47" s="267"/>
      <c r="C47" s="48" t="s">
        <v>612</v>
      </c>
      <c r="D47" s="82" t="s">
        <v>176</v>
      </c>
      <c r="E47" s="82" t="str">
        <f t="shared" si="8"/>
        <v>AutobúsB20 (l)</v>
      </c>
      <c r="F47" s="82">
        <v>2.1789999999999998</v>
      </c>
      <c r="G47" s="31" t="s">
        <v>600</v>
      </c>
    </row>
    <row r="48" spans="2:7" ht="15" customHeight="1" x14ac:dyDescent="0.3">
      <c r="B48" s="265" t="s">
        <v>616</v>
      </c>
      <c r="C48" s="48" t="s">
        <v>599</v>
      </c>
      <c r="D48" s="82" t="s">
        <v>193</v>
      </c>
      <c r="E48" s="82" t="str">
        <f>CONCATENATE(D48,$B$48)</f>
        <v>CocheB30 (l)</v>
      </c>
      <c r="F48" s="82">
        <v>1.9370000000000001</v>
      </c>
      <c r="G48" s="31" t="s">
        <v>600</v>
      </c>
    </row>
    <row r="49" spans="2:7" ht="15" customHeight="1" x14ac:dyDescent="0.3">
      <c r="B49" s="266"/>
      <c r="C49" s="48" t="s">
        <v>601</v>
      </c>
      <c r="D49" s="82" t="s">
        <v>154</v>
      </c>
      <c r="E49" s="82" t="str">
        <f t="shared" ref="E49:E51" si="9">CONCATENATE(D49,$B$48)</f>
        <v>FurgonetaB30 (l)</v>
      </c>
      <c r="F49" s="82">
        <v>1.925</v>
      </c>
      <c r="G49" s="31" t="s">
        <v>600</v>
      </c>
    </row>
    <row r="50" spans="2:7" ht="15" customHeight="1" x14ac:dyDescent="0.3">
      <c r="B50" s="266"/>
      <c r="C50" s="48" t="s">
        <v>602</v>
      </c>
      <c r="D50" s="82" t="s">
        <v>603</v>
      </c>
      <c r="E50" s="82"/>
      <c r="F50" s="82">
        <v>1.94</v>
      </c>
      <c r="G50" s="31" t="s">
        <v>600</v>
      </c>
    </row>
    <row r="51" spans="2:7" ht="15" customHeight="1" x14ac:dyDescent="0.3">
      <c r="B51" s="267"/>
      <c r="C51" s="48" t="s">
        <v>612</v>
      </c>
      <c r="D51" s="82" t="s">
        <v>176</v>
      </c>
      <c r="E51" s="82" t="str">
        <f t="shared" si="9"/>
        <v>AutobúsB30 (l)</v>
      </c>
      <c r="F51" s="82">
        <v>1.9259999999999999</v>
      </c>
      <c r="G51" s="31" t="s">
        <v>600</v>
      </c>
    </row>
    <row r="52" spans="2:7" ht="15" customHeight="1" x14ac:dyDescent="0.3">
      <c r="B52" s="265" t="s">
        <v>617</v>
      </c>
      <c r="C52" s="48" t="s">
        <v>599</v>
      </c>
      <c r="D52" s="82" t="s">
        <v>193</v>
      </c>
      <c r="E52" s="82" t="str">
        <f>CONCATENATE(D52,$B$52)</f>
        <v>CocheB100 (l)</v>
      </c>
      <c r="F52" s="82">
        <v>0.17199999999999999</v>
      </c>
      <c r="G52" s="31" t="s">
        <v>600</v>
      </c>
    </row>
    <row r="53" spans="2:7" ht="15" customHeight="1" x14ac:dyDescent="0.3">
      <c r="B53" s="266"/>
      <c r="C53" s="48" t="s">
        <v>601</v>
      </c>
      <c r="D53" s="82" t="s">
        <v>154</v>
      </c>
      <c r="E53" s="82" t="str">
        <f t="shared" ref="E53:E55" si="10">CONCATENATE(D53,$B$52)</f>
        <v>FurgonetaB100 (l)</v>
      </c>
      <c r="F53" s="82">
        <v>0.16</v>
      </c>
      <c r="G53" s="31" t="s">
        <v>600</v>
      </c>
    </row>
    <row r="54" spans="2:7" ht="15" customHeight="1" x14ac:dyDescent="0.3">
      <c r="B54" s="266"/>
      <c r="C54" s="48" t="s">
        <v>602</v>
      </c>
      <c r="D54" s="82" t="s">
        <v>603</v>
      </c>
      <c r="E54" s="82"/>
      <c r="F54" s="82">
        <v>0.17599999999999999</v>
      </c>
      <c r="G54" s="31" t="s">
        <v>600</v>
      </c>
    </row>
    <row r="55" spans="2:7" ht="15" customHeight="1" x14ac:dyDescent="0.3">
      <c r="B55" s="267"/>
      <c r="C55" s="48" t="s">
        <v>612</v>
      </c>
      <c r="D55" s="82" t="s">
        <v>176</v>
      </c>
      <c r="E55" s="82" t="str">
        <f t="shared" si="10"/>
        <v>AutobúsB100 (l)</v>
      </c>
      <c r="F55" s="82">
        <v>0.16200000000000001</v>
      </c>
      <c r="G55" s="31" t="s">
        <v>600</v>
      </c>
    </row>
    <row r="56" spans="2:7" ht="15" customHeight="1" x14ac:dyDescent="0.3">
      <c r="B56" s="99" t="s">
        <v>618</v>
      </c>
      <c r="C56" s="48" t="s">
        <v>599</v>
      </c>
      <c r="D56" s="82" t="s">
        <v>193</v>
      </c>
      <c r="E56" s="82" t="str">
        <f t="shared" ref="E56" si="11">CONCATENATE(D56,B56)</f>
        <v>CocheLPG (l)</v>
      </c>
      <c r="F56" s="82">
        <v>1.661</v>
      </c>
      <c r="G56" s="31" t="s">
        <v>600</v>
      </c>
    </row>
    <row r="57" spans="2:7" ht="15" customHeight="1" x14ac:dyDescent="0.3">
      <c r="B57" s="265" t="s">
        <v>619</v>
      </c>
      <c r="C57" s="48" t="s">
        <v>599</v>
      </c>
      <c r="D57" s="82" t="s">
        <v>154</v>
      </c>
      <c r="E57" s="82" t="str">
        <f>CONCATENATE(D57,$B$57)</f>
        <v>FurgonetaCNG (kg)</v>
      </c>
      <c r="F57" s="82">
        <v>2.754</v>
      </c>
      <c r="G57" s="31" t="s">
        <v>600</v>
      </c>
    </row>
    <row r="58" spans="2:7" ht="14.4" x14ac:dyDescent="0.3">
      <c r="B58" s="266"/>
      <c r="C58" s="48" t="s">
        <v>602</v>
      </c>
      <c r="D58" s="82" t="s">
        <v>603</v>
      </c>
      <c r="E58" s="82"/>
      <c r="F58" s="82">
        <v>2.7160000000000002</v>
      </c>
      <c r="G58" s="31" t="s">
        <v>600</v>
      </c>
    </row>
    <row r="59" spans="2:7" ht="14.4" x14ac:dyDescent="0.3">
      <c r="B59" s="267"/>
      <c r="C59" s="48" t="s">
        <v>612</v>
      </c>
      <c r="D59" s="82" t="s">
        <v>176</v>
      </c>
      <c r="E59" s="82" t="str">
        <f t="shared" ref="E59" si="12">CONCATENATE(D59,$B$57)</f>
        <v>AutobúsCNG (kg)</v>
      </c>
      <c r="F59" s="82">
        <v>2.7839999999999998</v>
      </c>
      <c r="G59" s="31" t="s">
        <v>600</v>
      </c>
    </row>
    <row r="60" spans="2:7" ht="14.4" x14ac:dyDescent="0.3">
      <c r="B60" s="99" t="s">
        <v>620</v>
      </c>
      <c r="C60" s="48" t="s">
        <v>602</v>
      </c>
      <c r="D60" s="82" t="s">
        <v>603</v>
      </c>
      <c r="E60" s="82"/>
      <c r="F60" s="82">
        <v>2.7160000000000002</v>
      </c>
      <c r="G60" s="31" t="s">
        <v>600</v>
      </c>
    </row>
    <row r="61" spans="2:7" ht="14.4" x14ac:dyDescent="0.3">
      <c r="B61" s="265" t="s">
        <v>621</v>
      </c>
      <c r="C61" s="48" t="s">
        <v>599</v>
      </c>
      <c r="D61" s="82" t="s">
        <v>193</v>
      </c>
      <c r="E61" s="82" t="str">
        <f>CONCATENATE(D61,$B$61)</f>
        <v>CocheAdBlue (l)</v>
      </c>
      <c r="F61" s="82">
        <v>0.26</v>
      </c>
      <c r="G61" s="31" t="s">
        <v>600</v>
      </c>
    </row>
    <row r="62" spans="2:7" ht="14.4" x14ac:dyDescent="0.3">
      <c r="B62" s="266"/>
      <c r="C62" s="48" t="s">
        <v>601</v>
      </c>
      <c r="D62" s="82" t="s">
        <v>154</v>
      </c>
      <c r="E62" s="82" t="str">
        <f t="shared" ref="E62:E64" si="13">CONCATENATE(D62,$B$61)</f>
        <v>FurgonetaAdBlue (l)</v>
      </c>
      <c r="F62" s="82">
        <v>0.26</v>
      </c>
      <c r="G62" s="31" t="s">
        <v>600</v>
      </c>
    </row>
    <row r="63" spans="2:7" ht="14.4" x14ac:dyDescent="0.3">
      <c r="B63" s="266"/>
      <c r="C63" s="48" t="s">
        <v>602</v>
      </c>
      <c r="D63" s="82" t="s">
        <v>603</v>
      </c>
      <c r="E63" s="82"/>
      <c r="F63" s="82">
        <v>0.26</v>
      </c>
      <c r="G63" s="31" t="s">
        <v>600</v>
      </c>
    </row>
    <row r="64" spans="2:7" ht="14.4" x14ac:dyDescent="0.3">
      <c r="B64" s="267"/>
      <c r="C64" s="48" t="s">
        <v>612</v>
      </c>
      <c r="D64" s="82" t="s">
        <v>176</v>
      </c>
      <c r="E64" s="82" t="str">
        <f t="shared" si="13"/>
        <v>AutobúsAdBlue (l)</v>
      </c>
      <c r="F64" s="82">
        <v>0.26</v>
      </c>
      <c r="G64" s="31" t="s">
        <v>600</v>
      </c>
    </row>
    <row r="65" spans="2:8" ht="14.4" x14ac:dyDescent="0.3">
      <c r="B65" s="268" t="s">
        <v>622</v>
      </c>
      <c r="C65" s="129" t="s">
        <v>623</v>
      </c>
      <c r="D65" s="82" t="s">
        <v>175</v>
      </c>
      <c r="E65" s="82" t="str">
        <f>D65</f>
        <v>Híbrido</v>
      </c>
      <c r="F65" s="200">
        <v>8.5007334228187917E-2</v>
      </c>
      <c r="G65" s="31" t="s">
        <v>624</v>
      </c>
    </row>
    <row r="66" spans="2:8" ht="14.4" x14ac:dyDescent="0.3">
      <c r="B66" s="268"/>
      <c r="C66" s="129" t="s">
        <v>625</v>
      </c>
      <c r="D66" s="82" t="s">
        <v>626</v>
      </c>
      <c r="E66" s="82" t="str">
        <f>D66</f>
        <v>Eléctrico</v>
      </c>
      <c r="F66" s="200">
        <v>5.2666348993288592E-2</v>
      </c>
      <c r="G66" s="31" t="s">
        <v>624</v>
      </c>
    </row>
    <row r="67" spans="2:8" ht="14.4" x14ac:dyDescent="0.3">
      <c r="B67" s="128"/>
      <c r="D67" s="11"/>
      <c r="E67" s="11"/>
      <c r="F67" s="11"/>
    </row>
    <row r="68" spans="2:8" ht="14.4" x14ac:dyDescent="0.3">
      <c r="B68" s="19" t="s">
        <v>627</v>
      </c>
    </row>
    <row r="69" spans="2:8" ht="14.4" x14ac:dyDescent="0.3">
      <c r="B69" s="19" t="s">
        <v>732</v>
      </c>
    </row>
    <row r="70" spans="2:8" ht="14.4" x14ac:dyDescent="0.3">
      <c r="B70" s="19"/>
    </row>
    <row r="71" spans="2:8" ht="14.4" x14ac:dyDescent="0.3">
      <c r="B71" s="143" t="s">
        <v>628</v>
      </c>
    </row>
    <row r="72" spans="2:8" ht="14.4" x14ac:dyDescent="0.3"/>
    <row r="73" spans="2:8" ht="14.4" x14ac:dyDescent="0.3">
      <c r="B73" s="48" t="s">
        <v>629</v>
      </c>
      <c r="C73" s="48" t="s">
        <v>121</v>
      </c>
      <c r="D73" s="48" t="s">
        <v>279</v>
      </c>
      <c r="G73" s="143" t="s">
        <v>630</v>
      </c>
    </row>
    <row r="74" spans="2:8" ht="15.6" x14ac:dyDescent="0.35">
      <c r="B74" s="31" t="s">
        <v>631</v>
      </c>
      <c r="C74" s="31">
        <v>2.529E-2</v>
      </c>
      <c r="D74" s="31" t="s">
        <v>632</v>
      </c>
    </row>
    <row r="75" spans="2:8" ht="15.6" x14ac:dyDescent="0.35">
      <c r="B75" s="31" t="s">
        <v>219</v>
      </c>
      <c r="C75" s="31">
        <v>2.6499999999999999E-2</v>
      </c>
      <c r="D75" s="31" t="s">
        <v>632</v>
      </c>
      <c r="G75" s="48" t="s">
        <v>633</v>
      </c>
      <c r="H75" s="48" t="s">
        <v>445</v>
      </c>
    </row>
    <row r="76" spans="2:8" ht="15" customHeight="1" x14ac:dyDescent="0.35">
      <c r="B76" s="31" t="s">
        <v>178</v>
      </c>
      <c r="C76" s="31">
        <v>2.8029999999999999E-2</v>
      </c>
      <c r="D76" s="31" t="s">
        <v>632</v>
      </c>
      <c r="G76" s="31">
        <v>74.75</v>
      </c>
      <c r="H76" s="31" t="s">
        <v>634</v>
      </c>
    </row>
    <row r="77" spans="2:8" ht="14.4" customHeight="1" x14ac:dyDescent="0.35">
      <c r="B77" s="31" t="s">
        <v>635</v>
      </c>
      <c r="C77" s="31">
        <v>3.7909999999999999E-2</v>
      </c>
      <c r="D77" s="31" t="s">
        <v>632</v>
      </c>
      <c r="G77" s="19" t="s">
        <v>636</v>
      </c>
    </row>
    <row r="78" spans="2:8" ht="15.6" x14ac:dyDescent="0.35">
      <c r="B78" s="31" t="s">
        <v>637</v>
      </c>
      <c r="C78" s="31">
        <v>3.6339999999999997E-2</v>
      </c>
      <c r="D78" s="31" t="s">
        <v>632</v>
      </c>
    </row>
    <row r="79" spans="2:8" ht="15.6" x14ac:dyDescent="0.35">
      <c r="B79" s="31" t="s">
        <v>638</v>
      </c>
      <c r="C79" s="31">
        <v>4.0189999999999997E-2</v>
      </c>
      <c r="D79" s="31" t="s">
        <v>632</v>
      </c>
    </row>
    <row r="80" spans="2:8" ht="15" customHeight="1" x14ac:dyDescent="0.35">
      <c r="B80" s="31" t="s">
        <v>639</v>
      </c>
      <c r="C80" s="31">
        <v>4.4590778523489931E-3</v>
      </c>
      <c r="D80" s="31" t="s">
        <v>632</v>
      </c>
    </row>
    <row r="81" spans="2:8" ht="15" customHeight="1" x14ac:dyDescent="0.3">
      <c r="B81" s="19" t="s">
        <v>636</v>
      </c>
    </row>
    <row r="82" spans="2:8" ht="15" customHeight="1" x14ac:dyDescent="0.3">
      <c r="B82" s="19" t="s">
        <v>640</v>
      </c>
    </row>
    <row r="85" spans="2:8" ht="15" customHeight="1" x14ac:dyDescent="0.3">
      <c r="B85" s="31" t="s">
        <v>169</v>
      </c>
    </row>
    <row r="86" spans="2:8" ht="15" customHeight="1" x14ac:dyDescent="0.3">
      <c r="B86" s="31" t="s">
        <v>159</v>
      </c>
    </row>
    <row r="87" spans="2:8" ht="30" customHeight="1" x14ac:dyDescent="0.3"/>
    <row r="88" spans="2:8" ht="15" customHeight="1" x14ac:dyDescent="0.3">
      <c r="B88" s="143" t="s">
        <v>724</v>
      </c>
      <c r="D88" s="143" t="s">
        <v>641</v>
      </c>
      <c r="F88" s="143" t="s">
        <v>642</v>
      </c>
      <c r="G88" s="106"/>
      <c r="H88" s="143" t="s">
        <v>643</v>
      </c>
    </row>
    <row r="89" spans="2:8" ht="15" customHeight="1" x14ac:dyDescent="0.3">
      <c r="B89" s="106"/>
    </row>
    <row r="90" spans="2:8" ht="15" customHeight="1" x14ac:dyDescent="0.3">
      <c r="B90" s="31" t="s">
        <v>193</v>
      </c>
      <c r="D90" s="31" t="s">
        <v>193</v>
      </c>
      <c r="F90" s="31" t="s">
        <v>193</v>
      </c>
      <c r="H90" s="31" t="s">
        <v>193</v>
      </c>
    </row>
    <row r="91" spans="2:8" ht="15" customHeight="1" x14ac:dyDescent="0.3">
      <c r="B91" s="31" t="s">
        <v>154</v>
      </c>
      <c r="D91" s="31" t="s">
        <v>644</v>
      </c>
      <c r="F91" s="31" t="s">
        <v>154</v>
      </c>
      <c r="H91" s="31" t="s">
        <v>645</v>
      </c>
    </row>
    <row r="92" spans="2:8" ht="15" customHeight="1" x14ac:dyDescent="0.3">
      <c r="B92" s="31" t="s">
        <v>170</v>
      </c>
      <c r="D92" s="31" t="s">
        <v>170</v>
      </c>
      <c r="F92" s="31" t="s">
        <v>175</v>
      </c>
      <c r="H92" s="31" t="s">
        <v>154</v>
      </c>
    </row>
    <row r="93" spans="2:8" ht="15" customHeight="1" x14ac:dyDescent="0.3">
      <c r="B93" s="31" t="s">
        <v>606</v>
      </c>
      <c r="D93" s="31" t="s">
        <v>606</v>
      </c>
      <c r="F93" s="31" t="s">
        <v>626</v>
      </c>
      <c r="H93" s="31" t="s">
        <v>176</v>
      </c>
    </row>
    <row r="94" spans="2:8" ht="15" customHeight="1" x14ac:dyDescent="0.3">
      <c r="B94" s="31" t="s">
        <v>175</v>
      </c>
      <c r="D94" s="31" t="s">
        <v>176</v>
      </c>
      <c r="F94" s="31" t="s">
        <v>603</v>
      </c>
      <c r="H94" s="31" t="s">
        <v>631</v>
      </c>
    </row>
    <row r="95" spans="2:8" ht="15" customHeight="1" x14ac:dyDescent="0.3">
      <c r="B95" s="31" t="s">
        <v>626</v>
      </c>
      <c r="D95" s="31" t="s">
        <v>175</v>
      </c>
      <c r="F95" s="31" t="s">
        <v>194</v>
      </c>
      <c r="H95" s="31" t="s">
        <v>219</v>
      </c>
    </row>
    <row r="96" spans="2:8" ht="15" customHeight="1" x14ac:dyDescent="0.3">
      <c r="D96" s="31" t="s">
        <v>626</v>
      </c>
      <c r="F96" s="31" t="s">
        <v>176</v>
      </c>
      <c r="H96" s="31" t="s">
        <v>178</v>
      </c>
    </row>
    <row r="97" spans="2:8" ht="15" customHeight="1" x14ac:dyDescent="0.3">
      <c r="D97" s="31" t="s">
        <v>638</v>
      </c>
      <c r="H97" s="31" t="s">
        <v>639</v>
      </c>
    </row>
    <row r="98" spans="2:8" ht="15" customHeight="1" x14ac:dyDescent="0.3">
      <c r="D98" s="31" t="s">
        <v>174</v>
      </c>
    </row>
    <row r="99" spans="2:8" ht="15" customHeight="1" x14ac:dyDescent="0.3">
      <c r="D99" s="31" t="s">
        <v>646</v>
      </c>
      <c r="F99" s="143" t="s">
        <v>647</v>
      </c>
    </row>
    <row r="100" spans="2:8" ht="15" customHeight="1" x14ac:dyDescent="0.3">
      <c r="D100" s="31" t="s">
        <v>172</v>
      </c>
    </row>
    <row r="101" spans="2:8" ht="15" customHeight="1" x14ac:dyDescent="0.3">
      <c r="D101" s="31" t="s">
        <v>648</v>
      </c>
      <c r="F101" s="31" t="s">
        <v>171</v>
      </c>
    </row>
    <row r="102" spans="2:8" ht="15" customHeight="1" x14ac:dyDescent="0.3">
      <c r="D102" s="31" t="s">
        <v>635</v>
      </c>
      <c r="F102" s="31" t="s">
        <v>173</v>
      </c>
    </row>
    <row r="103" spans="2:8" ht="15" customHeight="1" x14ac:dyDescent="0.3">
      <c r="D103" s="31" t="s">
        <v>178</v>
      </c>
    </row>
    <row r="105" spans="2:8" ht="15" customHeight="1" x14ac:dyDescent="0.3">
      <c r="B105" s="143" t="s">
        <v>649</v>
      </c>
    </row>
    <row r="107" spans="2:8" ht="15" customHeight="1" x14ac:dyDescent="0.3">
      <c r="B107" s="131" t="s">
        <v>629</v>
      </c>
      <c r="C107" s="48" t="s">
        <v>650</v>
      </c>
      <c r="D107" s="131" t="s">
        <v>651</v>
      </c>
      <c r="E107" s="48" t="s">
        <v>121</v>
      </c>
      <c r="F107" s="48" t="s">
        <v>279</v>
      </c>
    </row>
    <row r="108" spans="2:8" ht="15" customHeight="1" x14ac:dyDescent="0.35">
      <c r="B108" s="263" t="s">
        <v>603</v>
      </c>
      <c r="C108" s="130">
        <v>0</v>
      </c>
      <c r="D108" s="133" t="str">
        <f>CONCATENATE($B$108,C108)</f>
        <v>Camión0</v>
      </c>
      <c r="E108" s="201">
        <v>0.64257847785234901</v>
      </c>
      <c r="F108" s="142" t="s">
        <v>652</v>
      </c>
    </row>
    <row r="109" spans="2:8" ht="15" customHeight="1" x14ac:dyDescent="0.35">
      <c r="B109" s="263"/>
      <c r="C109" s="130">
        <v>0.5</v>
      </c>
      <c r="D109" s="133" t="str">
        <f>CONCATENATE($B$108,C109)</f>
        <v>Camión0,5</v>
      </c>
      <c r="E109" s="201">
        <v>0.81376847785234896</v>
      </c>
      <c r="F109" s="142" t="s">
        <v>652</v>
      </c>
    </row>
    <row r="110" spans="2:8" ht="15" customHeight="1" x14ac:dyDescent="0.35">
      <c r="B110" s="263"/>
      <c r="C110" s="130">
        <v>1</v>
      </c>
      <c r="D110" s="133" t="str">
        <f>CONCATENATE($B$108,C110)</f>
        <v>Camión1</v>
      </c>
      <c r="E110" s="201">
        <v>0.98495847785234902</v>
      </c>
      <c r="F110" s="142" t="s">
        <v>652</v>
      </c>
    </row>
    <row r="111" spans="2:8" ht="15" customHeight="1" x14ac:dyDescent="0.35">
      <c r="B111" s="264" t="s">
        <v>194</v>
      </c>
      <c r="C111" s="130">
        <v>0</v>
      </c>
      <c r="D111" s="133" t="str">
        <f>CONCATENATE($B$111,C111)</f>
        <v>Camión refrigerado0</v>
      </c>
      <c r="E111" s="201">
        <v>0.75176847785234902</v>
      </c>
      <c r="F111" s="142" t="s">
        <v>652</v>
      </c>
    </row>
    <row r="112" spans="2:8" ht="15" customHeight="1" x14ac:dyDescent="0.35">
      <c r="B112" s="264"/>
      <c r="C112" s="130">
        <v>0.5</v>
      </c>
      <c r="D112" s="133" t="str">
        <f>CONCATENATE($B$111,C112)</f>
        <v>Camión refrigerado0,5</v>
      </c>
      <c r="E112" s="201">
        <v>0.95260847785234903</v>
      </c>
      <c r="F112" s="142" t="s">
        <v>652</v>
      </c>
    </row>
    <row r="113" spans="2:8" ht="15" customHeight="1" x14ac:dyDescent="0.35">
      <c r="B113" s="264"/>
      <c r="C113" s="130">
        <v>1</v>
      </c>
      <c r="D113" s="133" t="str">
        <f>CONCATENATE($B$111,C113)</f>
        <v>Camión refrigerado1</v>
      </c>
      <c r="E113" s="201">
        <v>1.15345847785235</v>
      </c>
      <c r="F113" s="142" t="s">
        <v>652</v>
      </c>
    </row>
    <row r="114" spans="2:8" ht="15" customHeight="1" x14ac:dyDescent="0.3">
      <c r="B114" s="19" t="s">
        <v>731</v>
      </c>
    </row>
    <row r="117" spans="2:8" ht="15" customHeight="1" x14ac:dyDescent="0.3">
      <c r="B117" s="19" t="s">
        <v>653</v>
      </c>
    </row>
    <row r="118" spans="2:8" ht="15" customHeight="1" x14ac:dyDescent="0.3">
      <c r="B118" s="19" t="s">
        <v>654</v>
      </c>
    </row>
    <row r="119" spans="2:8" ht="15" customHeight="1" x14ac:dyDescent="0.3">
      <c r="F119"/>
    </row>
    <row r="120" spans="2:8" ht="15" customHeight="1" x14ac:dyDescent="0.3">
      <c r="B120" s="143" t="s">
        <v>655</v>
      </c>
    </row>
    <row r="122" spans="2:8" ht="15" customHeight="1" x14ac:dyDescent="0.3">
      <c r="B122" s="59"/>
      <c r="C122" s="59"/>
      <c r="D122" s="59"/>
      <c r="E122" s="59"/>
      <c r="F122" s="59"/>
      <c r="G122" s="48" t="s">
        <v>656</v>
      </c>
      <c r="H122" s="48" t="s">
        <v>657</v>
      </c>
    </row>
    <row r="123" spans="2:8" ht="15" customHeight="1" x14ac:dyDescent="0.3">
      <c r="B123" s="48" t="s">
        <v>658</v>
      </c>
      <c r="C123" s="48" t="s">
        <v>659</v>
      </c>
      <c r="D123" s="48" t="s">
        <v>660</v>
      </c>
      <c r="E123" s="48" t="s">
        <v>151</v>
      </c>
      <c r="F123" s="48" t="s">
        <v>661</v>
      </c>
      <c r="G123" s="61" t="s">
        <v>662</v>
      </c>
      <c r="H123" s="61" t="s">
        <v>662</v>
      </c>
    </row>
    <row r="124" spans="2:8" ht="15" customHeight="1" x14ac:dyDescent="0.3">
      <c r="B124" s="74" t="s">
        <v>727</v>
      </c>
      <c r="C124" s="62" t="s">
        <v>220</v>
      </c>
      <c r="D124" s="62" t="s">
        <v>221</v>
      </c>
      <c r="E124" s="62" t="str">
        <f>CONCATENATE(C124,D124)</f>
        <v>DomésticosEconomy class</v>
      </c>
      <c r="F124" s="62" t="s">
        <v>663</v>
      </c>
      <c r="G124" s="199">
        <v>0.27257678523489931</v>
      </c>
      <c r="H124" s="199">
        <v>0.16098678523489934</v>
      </c>
    </row>
    <row r="125" spans="2:8" ht="15" customHeight="1" x14ac:dyDescent="0.3">
      <c r="B125" s="75"/>
      <c r="C125" s="76" t="s">
        <v>664</v>
      </c>
      <c r="D125" s="62" t="s">
        <v>221</v>
      </c>
      <c r="E125" s="62" t="str">
        <f t="shared" ref="E125:E126" si="14">CONCATENATE($C$125,D125)</f>
        <v>EuropeosEconomy class</v>
      </c>
      <c r="F125" s="62" t="s">
        <v>663</v>
      </c>
      <c r="G125" s="199">
        <v>0.18286935436241611</v>
      </c>
      <c r="H125" s="199">
        <v>0.10793935436241611</v>
      </c>
    </row>
    <row r="126" spans="2:8" ht="15" customHeight="1" x14ac:dyDescent="0.3">
      <c r="B126" s="75"/>
      <c r="C126" s="75"/>
      <c r="D126" s="62" t="s">
        <v>665</v>
      </c>
      <c r="E126" s="62" t="str">
        <f t="shared" si="14"/>
        <v>EuropeosBusiness class</v>
      </c>
      <c r="F126" s="62" t="s">
        <v>663</v>
      </c>
      <c r="G126" s="199">
        <v>0.27430287785234903</v>
      </c>
      <c r="H126" s="199">
        <v>0.16191287785234898</v>
      </c>
    </row>
    <row r="127" spans="2:8" ht="25.2" customHeight="1" x14ac:dyDescent="0.3">
      <c r="B127" s="75"/>
      <c r="C127" s="76" t="s">
        <v>666</v>
      </c>
      <c r="D127" s="62" t="s">
        <v>221</v>
      </c>
      <c r="E127" s="62" t="str">
        <f t="shared" ref="E127:E130" si="15">CONCATENATE($C$127,D127)</f>
        <v>Internacionales fuera de Europa, desde EuropaEconomy class</v>
      </c>
      <c r="F127" s="62" t="s">
        <v>663</v>
      </c>
      <c r="G127" s="199">
        <v>0.20010828053691276</v>
      </c>
      <c r="H127" s="199">
        <v>0.11811828053691276</v>
      </c>
    </row>
    <row r="128" spans="2:8" ht="15" customHeight="1" x14ac:dyDescent="0.3">
      <c r="B128" s="75"/>
      <c r="C128" s="75"/>
      <c r="D128" s="62" t="s">
        <v>667</v>
      </c>
      <c r="E128" s="62" t="str">
        <f t="shared" si="15"/>
        <v>Internacionales fuera de Europa, desde EuropaPremium economy class</v>
      </c>
      <c r="F128" s="62" t="s">
        <v>663</v>
      </c>
      <c r="G128" s="199">
        <v>0.3201551932885906</v>
      </c>
      <c r="H128" s="199">
        <v>0.18897519328859058</v>
      </c>
    </row>
    <row r="129" spans="2:8" ht="15" customHeight="1" x14ac:dyDescent="0.3">
      <c r="B129" s="75"/>
      <c r="C129" s="75"/>
      <c r="D129" s="62" t="s">
        <v>665</v>
      </c>
      <c r="E129" s="62" t="str">
        <f t="shared" si="15"/>
        <v>Internacionales fuera de Europa, desde EuropaBusiness class</v>
      </c>
      <c r="F129" s="62" t="s">
        <v>663</v>
      </c>
      <c r="G129" s="199">
        <v>0.58028693020134225</v>
      </c>
      <c r="H129" s="199">
        <v>0.34252693020134228</v>
      </c>
    </row>
    <row r="130" spans="2:8" ht="15" customHeight="1" x14ac:dyDescent="0.3">
      <c r="B130" s="75"/>
      <c r="C130" s="75"/>
      <c r="D130" s="62" t="s">
        <v>668</v>
      </c>
      <c r="E130" s="62" t="str">
        <f t="shared" si="15"/>
        <v>Internacionales fuera de Europa, desde EuropaFirst class</v>
      </c>
      <c r="F130" s="62" t="s">
        <v>663</v>
      </c>
      <c r="G130" s="199">
        <v>0.80040302953020126</v>
      </c>
      <c r="H130" s="199">
        <v>0.47246302953020136</v>
      </c>
    </row>
    <row r="131" spans="2:8" ht="31.2" customHeight="1" x14ac:dyDescent="0.3">
      <c r="B131" s="75"/>
      <c r="C131" s="76" t="s">
        <v>669</v>
      </c>
      <c r="D131" s="62" t="s">
        <v>221</v>
      </c>
      <c r="E131" s="62" t="str">
        <f t="shared" ref="E131:E134" si="16">CONCATENATE($C$131,D131)</f>
        <v>Internationales fuera, desde países no EuropeosEconomy class</v>
      </c>
      <c r="F131" s="62" t="s">
        <v>663</v>
      </c>
      <c r="G131" s="199">
        <v>0.13464333030872483</v>
      </c>
      <c r="H131" s="199">
        <v>7.9473330308724832E-2</v>
      </c>
    </row>
    <row r="132" spans="2:8" ht="15" customHeight="1" x14ac:dyDescent="0.3">
      <c r="B132" s="75"/>
      <c r="C132" s="75"/>
      <c r="D132" s="62" t="s">
        <v>667</v>
      </c>
      <c r="E132" s="62" t="str">
        <f t="shared" si="16"/>
        <v>Internationales fuera, desde países no EuropeosPremium economy class</v>
      </c>
      <c r="F132" s="62" t="s">
        <v>663</v>
      </c>
      <c r="G132" s="199">
        <v>0.21541942147651008</v>
      </c>
      <c r="H132" s="199">
        <v>0.12715942147651008</v>
      </c>
    </row>
    <row r="133" spans="2:8" ht="15" customHeight="1" x14ac:dyDescent="0.3">
      <c r="B133" s="75"/>
      <c r="C133" s="75"/>
      <c r="D133" s="62" t="s">
        <v>665</v>
      </c>
      <c r="E133" s="62" t="str">
        <f t="shared" si="16"/>
        <v>Internationales fuera, desde países no EuropeosBusiness class</v>
      </c>
      <c r="F133" s="62" t="s">
        <v>663</v>
      </c>
      <c r="G133" s="199">
        <v>0.39044320536912752</v>
      </c>
      <c r="H133" s="199">
        <v>0.23047320536912752</v>
      </c>
    </row>
    <row r="134" spans="2:8" ht="15" customHeight="1" x14ac:dyDescent="0.3">
      <c r="B134" s="135"/>
      <c r="C134" s="135"/>
      <c r="D134" s="62" t="s">
        <v>668</v>
      </c>
      <c r="E134" s="62" t="str">
        <f t="shared" si="16"/>
        <v>Internationales fuera, desde países no EuropeosFirst class</v>
      </c>
      <c r="F134" s="62" t="s">
        <v>663</v>
      </c>
      <c r="G134" s="199">
        <v>0.53854239999999998</v>
      </c>
      <c r="H134" s="199">
        <v>0.31789239999999996</v>
      </c>
    </row>
    <row r="135" spans="2:8" ht="15" customHeight="1" x14ac:dyDescent="0.3">
      <c r="B135" s="19" t="s">
        <v>729</v>
      </c>
      <c r="C135" s="63"/>
      <c r="D135" s="64"/>
      <c r="E135" s="64"/>
      <c r="F135" s="107"/>
      <c r="G135" s="107"/>
    </row>
    <row r="136" spans="2:8" ht="15" customHeight="1" x14ac:dyDescent="0.3">
      <c r="B136" s="19"/>
      <c r="C136" s="63"/>
      <c r="D136" s="64"/>
      <c r="E136" s="64"/>
      <c r="F136" s="107"/>
      <c r="G136" s="107"/>
    </row>
    <row r="137" spans="2:8" ht="15" customHeight="1" x14ac:dyDescent="0.3">
      <c r="B137" s="143" t="s">
        <v>670</v>
      </c>
      <c r="C137" s="63"/>
      <c r="D137" s="64"/>
      <c r="E137" s="64"/>
    </row>
    <row r="139" spans="2:8" ht="15" customHeight="1" x14ac:dyDescent="0.35">
      <c r="B139" s="48" t="s">
        <v>658</v>
      </c>
      <c r="C139" s="48" t="s">
        <v>671</v>
      </c>
      <c r="D139" s="48" t="s">
        <v>661</v>
      </c>
      <c r="E139" s="60" t="s">
        <v>662</v>
      </c>
    </row>
    <row r="140" spans="2:8" ht="15" customHeight="1" x14ac:dyDescent="0.3">
      <c r="B140" s="31" t="s">
        <v>728</v>
      </c>
      <c r="C140" s="31" t="s">
        <v>672</v>
      </c>
      <c r="D140" s="31" t="s">
        <v>663</v>
      </c>
      <c r="E140" s="120">
        <v>0.11269808080536912</v>
      </c>
    </row>
    <row r="141" spans="2:8" ht="15" customHeight="1" x14ac:dyDescent="0.3">
      <c r="B141" s="19" t="s">
        <v>730</v>
      </c>
    </row>
    <row r="142" spans="2:8" ht="15" customHeight="1" x14ac:dyDescent="0.3">
      <c r="B142" s="19"/>
    </row>
  </sheetData>
  <protectedRanges>
    <protectedRange sqref="D7:E67" name="Rango1"/>
  </protectedRanges>
  <mergeCells count="16">
    <mergeCell ref="B108:B110"/>
    <mergeCell ref="B111:B113"/>
    <mergeCell ref="B7:B11"/>
    <mergeCell ref="B12:B16"/>
    <mergeCell ref="B17:B21"/>
    <mergeCell ref="B22:B26"/>
    <mergeCell ref="B27:B31"/>
    <mergeCell ref="B65:B66"/>
    <mergeCell ref="B32:B35"/>
    <mergeCell ref="B57:B59"/>
    <mergeCell ref="B61:B64"/>
    <mergeCell ref="B36:B39"/>
    <mergeCell ref="B40:B43"/>
    <mergeCell ref="B44:B47"/>
    <mergeCell ref="B48:B51"/>
    <mergeCell ref="B52:B55"/>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A5D45-A3FF-4F62-A445-5B53CFD77EA9}">
  <sheetPr>
    <tabColor theme="3" tint="0.39997558519241921"/>
  </sheetPr>
  <dimension ref="B2:E43"/>
  <sheetViews>
    <sheetView topLeftCell="A30" workbookViewId="0">
      <selection activeCell="B2" sqref="B2"/>
    </sheetView>
  </sheetViews>
  <sheetFormatPr baseColWidth="10" defaultColWidth="8.88671875" defaultRowHeight="14.4" x14ac:dyDescent="0.3"/>
  <cols>
    <col min="1" max="1" width="8.88671875" style="1"/>
    <col min="2" max="2" width="11" style="1" customWidth="1"/>
    <col min="3" max="3" width="26.88671875" style="1" customWidth="1"/>
    <col min="4" max="4" width="22.6640625" style="1" customWidth="1"/>
    <col min="5" max="5" width="23" style="1" customWidth="1"/>
    <col min="6" max="16384" width="8.88671875" style="1"/>
  </cols>
  <sheetData>
    <row r="2" spans="2:5" x14ac:dyDescent="0.3">
      <c r="B2" s="143" t="s">
        <v>673</v>
      </c>
    </row>
    <row r="4" spans="2:5" ht="15.6" x14ac:dyDescent="0.35">
      <c r="B4" s="124" t="s">
        <v>458</v>
      </c>
      <c r="C4" s="124" t="s">
        <v>674</v>
      </c>
      <c r="D4" s="124" t="s">
        <v>279</v>
      </c>
      <c r="E4" s="124" t="s">
        <v>675</v>
      </c>
    </row>
    <row r="5" spans="2:5" ht="14.4" customHeight="1" x14ac:dyDescent="0.3">
      <c r="B5" s="269" t="s">
        <v>676</v>
      </c>
      <c r="C5" s="103" t="s">
        <v>677</v>
      </c>
      <c r="D5" s="103" t="s">
        <v>678</v>
      </c>
      <c r="E5" s="103">
        <v>13.2</v>
      </c>
    </row>
    <row r="6" spans="2:5" x14ac:dyDescent="0.3">
      <c r="B6" s="269"/>
      <c r="C6" s="103" t="s">
        <v>679</v>
      </c>
      <c r="D6" s="103" t="s">
        <v>678</v>
      </c>
      <c r="E6" s="103">
        <v>106.4</v>
      </c>
    </row>
    <row r="7" spans="2:5" x14ac:dyDescent="0.3">
      <c r="B7" s="269"/>
      <c r="C7" s="103" t="s">
        <v>680</v>
      </c>
      <c r="D7" s="103" t="s">
        <v>678</v>
      </c>
      <c r="E7" s="103">
        <v>35</v>
      </c>
    </row>
    <row r="8" spans="2:5" x14ac:dyDescent="0.3">
      <c r="B8" s="269"/>
      <c r="C8" s="103" t="s">
        <v>236</v>
      </c>
      <c r="D8" s="103" t="s">
        <v>678</v>
      </c>
      <c r="E8" s="103">
        <v>12.2</v>
      </c>
    </row>
    <row r="9" spans="2:5" x14ac:dyDescent="0.3">
      <c r="B9" s="269"/>
      <c r="C9" s="103" t="s">
        <v>681</v>
      </c>
      <c r="D9" s="103" t="s">
        <v>678</v>
      </c>
      <c r="E9" s="103">
        <v>8.6999999999999993</v>
      </c>
    </row>
    <row r="10" spans="2:5" x14ac:dyDescent="0.3">
      <c r="B10" s="269"/>
      <c r="C10" s="103" t="s">
        <v>682</v>
      </c>
      <c r="D10" s="103" t="s">
        <v>678</v>
      </c>
      <c r="E10" s="103">
        <v>7.4</v>
      </c>
    </row>
    <row r="11" spans="2:5" x14ac:dyDescent="0.3">
      <c r="B11" s="269"/>
      <c r="C11" s="103" t="s">
        <v>683</v>
      </c>
      <c r="D11" s="103" t="s">
        <v>678</v>
      </c>
      <c r="E11" s="103">
        <v>27.6</v>
      </c>
    </row>
    <row r="12" spans="2:5" x14ac:dyDescent="0.3">
      <c r="B12" s="269"/>
      <c r="C12" s="103" t="s">
        <v>684</v>
      </c>
      <c r="D12" s="103" t="s">
        <v>678</v>
      </c>
      <c r="E12" s="103">
        <v>53.5</v>
      </c>
    </row>
    <row r="13" spans="2:5" x14ac:dyDescent="0.3">
      <c r="B13" s="269"/>
      <c r="C13" s="103" t="s">
        <v>685</v>
      </c>
      <c r="D13" s="103" t="s">
        <v>678</v>
      </c>
      <c r="E13" s="103">
        <v>14.7</v>
      </c>
    </row>
    <row r="14" spans="2:5" x14ac:dyDescent="0.3">
      <c r="B14" s="269"/>
      <c r="C14" s="103" t="s">
        <v>686</v>
      </c>
      <c r="D14" s="103" t="s">
        <v>678</v>
      </c>
      <c r="E14" s="103">
        <v>4.7</v>
      </c>
    </row>
    <row r="15" spans="2:5" x14ac:dyDescent="0.3">
      <c r="B15" s="269"/>
      <c r="C15" s="103" t="s">
        <v>687</v>
      </c>
      <c r="D15" s="103" t="s">
        <v>678</v>
      </c>
      <c r="E15" s="103">
        <v>44.2</v>
      </c>
    </row>
    <row r="16" spans="2:5" x14ac:dyDescent="0.3">
      <c r="B16" s="269"/>
      <c r="C16" s="103" t="s">
        <v>688</v>
      </c>
      <c r="D16" s="103" t="s">
        <v>678</v>
      </c>
      <c r="E16" s="103">
        <v>63.8</v>
      </c>
    </row>
    <row r="17" spans="2:5" x14ac:dyDescent="0.3">
      <c r="B17" s="269"/>
      <c r="C17" s="103" t="s">
        <v>689</v>
      </c>
      <c r="D17" s="103" t="s">
        <v>678</v>
      </c>
      <c r="E17" s="103">
        <v>7</v>
      </c>
    </row>
    <row r="18" spans="2:5" x14ac:dyDescent="0.3">
      <c r="B18" s="269"/>
      <c r="C18" s="103" t="s">
        <v>690</v>
      </c>
      <c r="D18" s="103" t="s">
        <v>678</v>
      </c>
      <c r="E18" s="103">
        <v>16.100000000000001</v>
      </c>
    </row>
    <row r="19" spans="2:5" x14ac:dyDescent="0.3">
      <c r="B19" s="269"/>
      <c r="C19" s="103" t="s">
        <v>691</v>
      </c>
      <c r="D19" s="103" t="s">
        <v>678</v>
      </c>
      <c r="E19" s="103">
        <v>54.3</v>
      </c>
    </row>
    <row r="20" spans="2:5" x14ac:dyDescent="0.3">
      <c r="B20" s="269"/>
      <c r="C20" s="103" t="s">
        <v>692</v>
      </c>
      <c r="D20" s="103" t="s">
        <v>678</v>
      </c>
      <c r="E20" s="103">
        <v>6.7</v>
      </c>
    </row>
    <row r="21" spans="2:5" x14ac:dyDescent="0.3">
      <c r="B21" s="269"/>
      <c r="C21" s="103" t="s">
        <v>693</v>
      </c>
      <c r="D21" s="103" t="s">
        <v>678</v>
      </c>
      <c r="E21" s="103">
        <v>14.8</v>
      </c>
    </row>
    <row r="22" spans="2:5" x14ac:dyDescent="0.3">
      <c r="B22" s="269"/>
      <c r="C22" s="103" t="s">
        <v>694</v>
      </c>
      <c r="D22" s="103" t="s">
        <v>678</v>
      </c>
      <c r="E22" s="103">
        <v>51.5</v>
      </c>
    </row>
    <row r="23" spans="2:5" x14ac:dyDescent="0.3">
      <c r="B23" s="269"/>
      <c r="C23" s="103" t="s">
        <v>695</v>
      </c>
      <c r="D23" s="103" t="s">
        <v>678</v>
      </c>
      <c r="E23" s="103">
        <v>58.9</v>
      </c>
    </row>
    <row r="24" spans="2:5" x14ac:dyDescent="0.3">
      <c r="B24" s="269"/>
      <c r="C24" s="103" t="s">
        <v>696</v>
      </c>
      <c r="D24" s="103" t="s">
        <v>678</v>
      </c>
      <c r="E24" s="103">
        <v>62.7</v>
      </c>
    </row>
    <row r="25" spans="2:5" x14ac:dyDescent="0.3">
      <c r="B25" s="269"/>
      <c r="C25" s="103" t="s">
        <v>697</v>
      </c>
      <c r="D25" s="103" t="s">
        <v>678</v>
      </c>
      <c r="E25" s="103">
        <v>14.3</v>
      </c>
    </row>
    <row r="26" spans="2:5" x14ac:dyDescent="0.3">
      <c r="B26" s="269"/>
      <c r="C26" s="103" t="s">
        <v>698</v>
      </c>
      <c r="D26" s="103" t="s">
        <v>678</v>
      </c>
      <c r="E26" s="103">
        <v>39</v>
      </c>
    </row>
    <row r="27" spans="2:5" x14ac:dyDescent="0.3">
      <c r="B27" s="269"/>
      <c r="C27" s="103" t="s">
        <v>699</v>
      </c>
      <c r="D27" s="103" t="s">
        <v>678</v>
      </c>
      <c r="E27" s="103">
        <v>68.900000000000006</v>
      </c>
    </row>
    <row r="28" spans="2:5" x14ac:dyDescent="0.3">
      <c r="B28" s="269"/>
      <c r="C28" s="103" t="s">
        <v>700</v>
      </c>
      <c r="D28" s="103" t="s">
        <v>678</v>
      </c>
      <c r="E28" s="103">
        <v>55.8</v>
      </c>
    </row>
    <row r="29" spans="2:5" x14ac:dyDescent="0.3">
      <c r="B29" s="269"/>
      <c r="C29" s="103" t="s">
        <v>701</v>
      </c>
      <c r="D29" s="103" t="s">
        <v>678</v>
      </c>
      <c r="E29" s="103">
        <v>61.5</v>
      </c>
    </row>
    <row r="30" spans="2:5" x14ac:dyDescent="0.3">
      <c r="B30" s="269"/>
      <c r="C30" s="103" t="s">
        <v>702</v>
      </c>
      <c r="D30" s="103" t="s">
        <v>678</v>
      </c>
      <c r="E30" s="103">
        <v>152.19999999999999</v>
      </c>
    </row>
    <row r="31" spans="2:5" x14ac:dyDescent="0.3">
      <c r="B31" s="269"/>
      <c r="C31" s="103" t="s">
        <v>703</v>
      </c>
      <c r="D31" s="103" t="s">
        <v>678</v>
      </c>
      <c r="E31" s="103">
        <v>19.3</v>
      </c>
    </row>
    <row r="32" spans="2:5" x14ac:dyDescent="0.3">
      <c r="B32" s="269"/>
      <c r="C32" s="103" t="s">
        <v>704</v>
      </c>
      <c r="D32" s="103" t="s">
        <v>678</v>
      </c>
      <c r="E32" s="103">
        <v>90.3</v>
      </c>
    </row>
    <row r="33" spans="2:5" x14ac:dyDescent="0.3">
      <c r="B33" s="269"/>
      <c r="C33" s="103" t="s">
        <v>705</v>
      </c>
      <c r="D33" s="103" t="s">
        <v>678</v>
      </c>
      <c r="E33" s="103">
        <v>19</v>
      </c>
    </row>
    <row r="34" spans="2:5" x14ac:dyDescent="0.3">
      <c r="B34" s="269"/>
      <c r="C34" s="103" t="s">
        <v>706</v>
      </c>
      <c r="D34" s="103" t="s">
        <v>678</v>
      </c>
      <c r="E34" s="103">
        <v>86.2</v>
      </c>
    </row>
    <row r="35" spans="2:5" x14ac:dyDescent="0.3">
      <c r="B35" s="269"/>
      <c r="C35" s="103" t="s">
        <v>707</v>
      </c>
      <c r="D35" s="103" t="s">
        <v>678</v>
      </c>
      <c r="E35" s="103">
        <v>24.2</v>
      </c>
    </row>
    <row r="36" spans="2:5" x14ac:dyDescent="0.3">
      <c r="B36" s="269"/>
      <c r="C36" s="103" t="s">
        <v>708</v>
      </c>
      <c r="D36" s="103" t="s">
        <v>678</v>
      </c>
      <c r="E36" s="103">
        <v>24.5</v>
      </c>
    </row>
    <row r="37" spans="2:5" x14ac:dyDescent="0.3">
      <c r="B37" s="269"/>
      <c r="C37" s="103" t="s">
        <v>709</v>
      </c>
      <c r="D37" s="103" t="s">
        <v>678</v>
      </c>
      <c r="E37" s="103">
        <v>6.6</v>
      </c>
    </row>
    <row r="38" spans="2:5" x14ac:dyDescent="0.3">
      <c r="B38" s="269"/>
      <c r="C38" s="103" t="s">
        <v>710</v>
      </c>
      <c r="D38" s="103" t="s">
        <v>678</v>
      </c>
      <c r="E38" s="103">
        <v>51.4</v>
      </c>
    </row>
    <row r="39" spans="2:5" x14ac:dyDescent="0.3">
      <c r="B39" s="269"/>
      <c r="C39" s="103" t="s">
        <v>711</v>
      </c>
      <c r="D39" s="103" t="s">
        <v>678</v>
      </c>
      <c r="E39" s="103">
        <v>43.4</v>
      </c>
    </row>
    <row r="40" spans="2:5" x14ac:dyDescent="0.3">
      <c r="B40" s="269"/>
      <c r="C40" s="103" t="s">
        <v>712</v>
      </c>
      <c r="D40" s="103" t="s">
        <v>678</v>
      </c>
      <c r="E40" s="103">
        <v>10.4</v>
      </c>
    </row>
    <row r="41" spans="2:5" x14ac:dyDescent="0.3">
      <c r="B41" s="269"/>
      <c r="C41" s="103" t="s">
        <v>713</v>
      </c>
      <c r="D41" s="103" t="s">
        <v>678</v>
      </c>
      <c r="E41" s="103">
        <v>32.1</v>
      </c>
    </row>
    <row r="42" spans="2:5" x14ac:dyDescent="0.3">
      <c r="B42" s="269"/>
      <c r="C42" s="103" t="s">
        <v>714</v>
      </c>
      <c r="D42" s="103" t="s">
        <v>678</v>
      </c>
      <c r="E42" s="103">
        <v>38.5</v>
      </c>
    </row>
    <row r="43" spans="2:5" x14ac:dyDescent="0.3">
      <c r="B43" s="19" t="s">
        <v>715</v>
      </c>
    </row>
  </sheetData>
  <sheetProtection algorithmName="SHA-512" hashValue="V8FbkXZKQbpc6GkMsPENH7zEABeKcdZI98Dl037DK3EeTnSzeOLT35jl2zL2YOrQKFkTSBFBJ9+aRLgCVqxYaA==" saltValue="1tdg9YYE/nrqLyfwfTyb+A==" spinCount="100000" sheet="1" objects="1" scenarios="1"/>
  <sortState xmlns:xlrd2="http://schemas.microsoft.com/office/spreadsheetml/2017/richdata2" ref="C5:E42">
    <sortCondition ref="C5:C42"/>
  </sortState>
  <mergeCells count="1">
    <mergeCell ref="B5:B4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9AC0D-87BB-4EB3-A57A-F9A4868D2C30}">
  <sheetPr>
    <tabColor theme="3" tint="0.39997558519241921"/>
  </sheetPr>
  <dimension ref="B2:G44"/>
  <sheetViews>
    <sheetView topLeftCell="A24" workbookViewId="0">
      <selection activeCell="E31" sqref="E31"/>
    </sheetView>
  </sheetViews>
  <sheetFormatPr baseColWidth="10" defaultColWidth="9.109375" defaultRowHeight="14.4" x14ac:dyDescent="0.3"/>
  <cols>
    <col min="1" max="1" width="9.109375" style="1"/>
    <col min="2" max="2" width="22.33203125" style="1" customWidth="1"/>
    <col min="3" max="3" width="24" style="1" customWidth="1"/>
    <col min="4" max="7" width="21.6640625" style="1" customWidth="1"/>
    <col min="8" max="16384" width="9.109375" style="1"/>
  </cols>
  <sheetData>
    <row r="2" spans="2:4" x14ac:dyDescent="0.3">
      <c r="B2" s="143" t="s">
        <v>716</v>
      </c>
    </row>
    <row r="4" spans="2:4" ht="28.2" customHeight="1" x14ac:dyDescent="0.3">
      <c r="C4" s="273" t="s">
        <v>717</v>
      </c>
      <c r="D4" s="273"/>
    </row>
    <row r="5" spans="2:4" ht="15.6" x14ac:dyDescent="0.3">
      <c r="C5" s="273" t="s">
        <v>718</v>
      </c>
      <c r="D5" s="273"/>
    </row>
    <row r="6" spans="2:4" x14ac:dyDescent="0.3">
      <c r="B6" s="31" t="s">
        <v>245</v>
      </c>
      <c r="C6" s="274">
        <v>868.06994451458229</v>
      </c>
      <c r="D6" s="274"/>
    </row>
    <row r="7" spans="2:4" x14ac:dyDescent="0.3">
      <c r="B7" s="31" t="s">
        <v>247</v>
      </c>
      <c r="C7" s="274">
        <v>3102.448505440294</v>
      </c>
      <c r="D7" s="274"/>
    </row>
    <row r="8" spans="2:4" x14ac:dyDescent="0.3">
      <c r="B8" s="31" t="s">
        <v>248</v>
      </c>
      <c r="C8" s="274">
        <v>9108.727308510066</v>
      </c>
      <c r="D8" s="274"/>
    </row>
    <row r="9" spans="2:4" x14ac:dyDescent="0.3">
      <c r="B9" s="31" t="s">
        <v>249</v>
      </c>
      <c r="C9" s="274">
        <v>1402.7666666666664</v>
      </c>
      <c r="D9" s="274"/>
    </row>
    <row r="10" spans="2:4" x14ac:dyDescent="0.3">
      <c r="B10" s="31" t="s">
        <v>250</v>
      </c>
      <c r="C10" s="274">
        <v>3701.4035930512041</v>
      </c>
      <c r="D10" s="274"/>
    </row>
    <row r="11" spans="2:4" x14ac:dyDescent="0.3">
      <c r="B11" s="31" t="s">
        <v>251</v>
      </c>
      <c r="C11" s="274">
        <v>3267</v>
      </c>
      <c r="D11" s="274"/>
    </row>
    <row r="12" spans="2:4" x14ac:dyDescent="0.3">
      <c r="B12" s="31" t="s">
        <v>253</v>
      </c>
      <c r="C12" s="274">
        <v>5647.9456339952421</v>
      </c>
      <c r="D12" s="274"/>
    </row>
    <row r="13" spans="2:4" x14ac:dyDescent="0.3">
      <c r="B13" s="31" t="s">
        <v>255</v>
      </c>
      <c r="C13" s="274">
        <v>4633.478260869565</v>
      </c>
      <c r="D13" s="274"/>
    </row>
    <row r="14" spans="2:4" x14ac:dyDescent="0.3">
      <c r="B14" s="31" t="s">
        <v>257</v>
      </c>
      <c r="C14" s="274">
        <v>22310</v>
      </c>
      <c r="D14" s="274"/>
    </row>
    <row r="15" spans="2:4" x14ac:dyDescent="0.3">
      <c r="B15" s="31" t="s">
        <v>259</v>
      </c>
      <c r="C15" s="274">
        <v>312.61178017290251</v>
      </c>
      <c r="D15" s="274"/>
    </row>
    <row r="16" spans="2:4" x14ac:dyDescent="0.3">
      <c r="B16" s="31" t="s">
        <v>260</v>
      </c>
      <c r="C16" s="274">
        <v>4005.1377747239953</v>
      </c>
      <c r="D16" s="274"/>
    </row>
    <row r="17" spans="2:7" x14ac:dyDescent="0.3">
      <c r="B17" s="31" t="s">
        <v>261</v>
      </c>
      <c r="C17" s="274">
        <v>3335.5718997142853</v>
      </c>
      <c r="D17" s="274"/>
    </row>
    <row r="18" spans="2:7" x14ac:dyDescent="0.3">
      <c r="B18" s="19" t="s">
        <v>719</v>
      </c>
    </row>
    <row r="21" spans="2:7" x14ac:dyDescent="0.3">
      <c r="B21" s="143" t="s">
        <v>720</v>
      </c>
    </row>
    <row r="22" spans="2:7" x14ac:dyDescent="0.3">
      <c r="B22" s="38"/>
    </row>
    <row r="23" spans="2:7" ht="32.4" customHeight="1" x14ac:dyDescent="0.3">
      <c r="B23" s="38"/>
      <c r="C23" s="270" t="s">
        <v>721</v>
      </c>
      <c r="D23" s="271"/>
      <c r="E23" s="270" t="s">
        <v>722</v>
      </c>
      <c r="F23" s="272"/>
      <c r="G23" s="271"/>
    </row>
    <row r="24" spans="2:7" ht="45.6" customHeight="1" x14ac:dyDescent="0.3">
      <c r="B24" s="38"/>
      <c r="C24" s="39" t="s">
        <v>269</v>
      </c>
      <c r="D24" s="39" t="s">
        <v>270</v>
      </c>
      <c r="E24" s="39" t="s">
        <v>271</v>
      </c>
      <c r="F24" s="39" t="s">
        <v>272</v>
      </c>
      <c r="G24" s="39" t="s">
        <v>273</v>
      </c>
    </row>
    <row r="25" spans="2:7" ht="15.6" x14ac:dyDescent="0.3">
      <c r="B25" s="38"/>
      <c r="C25" s="78" t="s">
        <v>718</v>
      </c>
      <c r="D25" s="78" t="s">
        <v>718</v>
      </c>
      <c r="E25" s="78" t="s">
        <v>718</v>
      </c>
      <c r="F25" s="78" t="s">
        <v>718</v>
      </c>
      <c r="G25" s="37" t="s">
        <v>718</v>
      </c>
    </row>
    <row r="26" spans="2:7" x14ac:dyDescent="0.3">
      <c r="B26" s="31" t="s">
        <v>245</v>
      </c>
      <c r="C26" s="138"/>
      <c r="D26" s="117">
        <v>21.280807236876331</v>
      </c>
      <c r="E26" s="117">
        <v>21.280807236876331</v>
      </c>
      <c r="F26" s="117">
        <v>8.9124217106289993</v>
      </c>
      <c r="G26" s="79">
        <v>1164.390423590374</v>
      </c>
    </row>
    <row r="27" spans="2:7" x14ac:dyDescent="0.3">
      <c r="B27" s="31" t="s">
        <v>247</v>
      </c>
      <c r="C27" s="139">
        <v>21.280807236876331</v>
      </c>
      <c r="D27" s="117">
        <v>21.280807236876331</v>
      </c>
      <c r="E27" s="117">
        <v>21.280807236876331</v>
      </c>
      <c r="F27" s="79"/>
      <c r="G27" s="117">
        <v>8.8841301316268648</v>
      </c>
    </row>
    <row r="28" spans="2:7" x14ac:dyDescent="0.3">
      <c r="B28" s="31" t="s">
        <v>248</v>
      </c>
      <c r="C28" s="139">
        <v>21.280807236876331</v>
      </c>
      <c r="D28" s="117">
        <v>21.280807236876331</v>
      </c>
      <c r="E28" s="117">
        <v>21.280807236876331</v>
      </c>
      <c r="F28" s="79"/>
      <c r="G28" s="117">
        <v>8.8841301316268648</v>
      </c>
    </row>
    <row r="29" spans="2:7" x14ac:dyDescent="0.3">
      <c r="B29" s="31" t="s">
        <v>249</v>
      </c>
      <c r="C29" s="139">
        <v>21.280807236876331</v>
      </c>
      <c r="D29" s="117">
        <v>21.280807236876331</v>
      </c>
      <c r="E29" s="117">
        <v>21.280807236876331</v>
      </c>
      <c r="F29" s="79"/>
      <c r="G29" s="118">
        <v>8.8841301316268648</v>
      </c>
    </row>
    <row r="30" spans="2:7" x14ac:dyDescent="0.3">
      <c r="B30" s="31" t="s">
        <v>250</v>
      </c>
      <c r="C30" s="138"/>
      <c r="D30" s="79"/>
      <c r="E30" s="117">
        <v>21.280807236876331</v>
      </c>
      <c r="F30" s="117">
        <v>8.9124217106289993</v>
      </c>
      <c r="G30" s="118">
        <v>700.20988175342768</v>
      </c>
    </row>
    <row r="31" spans="2:7" x14ac:dyDescent="0.3">
      <c r="B31" s="31" t="s">
        <v>251</v>
      </c>
      <c r="C31" s="139">
        <v>21.280807236876331</v>
      </c>
      <c r="D31" s="79"/>
      <c r="E31" s="117">
        <v>21.280807236876331</v>
      </c>
      <c r="F31" s="79"/>
      <c r="G31" s="117">
        <v>8.8841301316268648</v>
      </c>
    </row>
    <row r="32" spans="2:7" x14ac:dyDescent="0.3">
      <c r="B32" s="31" t="s">
        <v>253</v>
      </c>
      <c r="C32" s="139">
        <v>21.280807236876331</v>
      </c>
      <c r="D32" s="79"/>
      <c r="E32" s="117">
        <v>21.280807236876331</v>
      </c>
      <c r="F32" s="79"/>
      <c r="G32" s="117">
        <v>8.8841301316268648</v>
      </c>
    </row>
    <row r="33" spans="2:7" x14ac:dyDescent="0.3">
      <c r="B33" s="31" t="s">
        <v>255</v>
      </c>
      <c r="C33" s="139">
        <v>21.280807236876331</v>
      </c>
      <c r="D33" s="79"/>
      <c r="E33" s="79"/>
      <c r="F33" s="79"/>
      <c r="G33" s="117">
        <v>8.8841301316268648</v>
      </c>
    </row>
    <row r="34" spans="2:7" x14ac:dyDescent="0.3">
      <c r="B34" s="31" t="s">
        <v>257</v>
      </c>
      <c r="C34" s="138"/>
      <c r="D34" s="117">
        <v>21.280807236876331</v>
      </c>
      <c r="E34" s="117">
        <v>21.280807236876331</v>
      </c>
      <c r="F34" s="79"/>
      <c r="G34" s="118">
        <v>496.68330591452838</v>
      </c>
    </row>
    <row r="35" spans="2:7" x14ac:dyDescent="0.3">
      <c r="B35" s="31" t="s">
        <v>259</v>
      </c>
      <c r="C35" s="138"/>
      <c r="D35" s="117">
        <v>21.280807236876331</v>
      </c>
      <c r="E35" s="117">
        <v>21.280807236876331</v>
      </c>
      <c r="F35" s="117">
        <v>8.9124217106289993</v>
      </c>
      <c r="G35" s="118">
        <v>925.24450083024101</v>
      </c>
    </row>
    <row r="36" spans="2:7" x14ac:dyDescent="0.3">
      <c r="B36" s="31" t="s">
        <v>260</v>
      </c>
      <c r="C36" s="138"/>
      <c r="D36" s="117">
        <v>0.98491172324161069</v>
      </c>
      <c r="E36" s="79"/>
      <c r="F36" s="79"/>
      <c r="G36" s="118">
        <v>1.2643491</v>
      </c>
    </row>
    <row r="37" spans="2:7" x14ac:dyDescent="0.3">
      <c r="B37" s="31" t="s">
        <v>261</v>
      </c>
      <c r="C37" s="138"/>
      <c r="D37" s="117">
        <v>21.280807236876331</v>
      </c>
      <c r="E37" s="79"/>
      <c r="F37" s="79"/>
      <c r="G37" s="79"/>
    </row>
    <row r="38" spans="2:7" x14ac:dyDescent="0.3">
      <c r="B38" s="19" t="s">
        <v>723</v>
      </c>
    </row>
    <row r="40" spans="2:7" ht="28.95" customHeight="1" x14ac:dyDescent="0.3"/>
    <row r="42" spans="2:7" ht="22.95" customHeight="1" x14ac:dyDescent="0.3"/>
    <row r="43" spans="2:7" ht="28.2" customHeight="1" x14ac:dyDescent="0.3"/>
    <row r="44" spans="2:7" ht="28.2" customHeight="1" x14ac:dyDescent="0.3"/>
  </sheetData>
  <sheetProtection algorithmName="SHA-512" hashValue="HbSJDgXP01o1VzBxy71QDEMuXhzewptLBoynlGqG3Smufxp65RwXowT69DDbRS/CVVB9nL0NUl9+B0p8PMOv2A==" saltValue="6KN7OOdYrdSkmC2jwekJMw==" spinCount="100000" sheet="1" objects="1" scenarios="1"/>
  <mergeCells count="16">
    <mergeCell ref="C23:D23"/>
    <mergeCell ref="E23:G23"/>
    <mergeCell ref="C4:D4"/>
    <mergeCell ref="C5:D5"/>
    <mergeCell ref="C6:D6"/>
    <mergeCell ref="C7:D7"/>
    <mergeCell ref="C8:D8"/>
    <mergeCell ref="C14:D14"/>
    <mergeCell ref="C15:D15"/>
    <mergeCell ref="C16:D16"/>
    <mergeCell ref="C17:D17"/>
    <mergeCell ref="C9:D9"/>
    <mergeCell ref="C10:D10"/>
    <mergeCell ref="C11:D11"/>
    <mergeCell ref="C12:D12"/>
    <mergeCell ref="C13:D13"/>
  </mergeCells>
  <conditionalFormatting sqref="C27:C29">
    <cfRule type="expression" dxfId="9" priority="10" stopIfTrue="1">
      <formula>C27=""</formula>
    </cfRule>
  </conditionalFormatting>
  <conditionalFormatting sqref="C31:C33">
    <cfRule type="expression" dxfId="8" priority="9" stopIfTrue="1">
      <formula>C31=""</formula>
    </cfRule>
  </conditionalFormatting>
  <conditionalFormatting sqref="D26:D29">
    <cfRule type="expression" dxfId="7" priority="11" stopIfTrue="1">
      <formula>D26=""</formula>
    </cfRule>
  </conditionalFormatting>
  <conditionalFormatting sqref="D34:D37">
    <cfRule type="expression" dxfId="6" priority="12" stopIfTrue="1">
      <formula>D34=""</formula>
    </cfRule>
  </conditionalFormatting>
  <conditionalFormatting sqref="E26:E32">
    <cfRule type="expression" dxfId="5" priority="17" stopIfTrue="1">
      <formula>E26=""</formula>
    </cfRule>
  </conditionalFormatting>
  <conditionalFormatting sqref="E34:E35">
    <cfRule type="expression" dxfId="4" priority="15" stopIfTrue="1">
      <formula>E34=""</formula>
    </cfRule>
  </conditionalFormatting>
  <conditionalFormatting sqref="F26">
    <cfRule type="expression" dxfId="3" priority="26" stopIfTrue="1">
      <formula>F26=""</formula>
    </cfRule>
  </conditionalFormatting>
  <conditionalFormatting sqref="F30">
    <cfRule type="expression" dxfId="2" priority="25" stopIfTrue="1">
      <formula>F30=""</formula>
    </cfRule>
  </conditionalFormatting>
  <conditionalFormatting sqref="F35">
    <cfRule type="expression" dxfId="1" priority="24" stopIfTrue="1">
      <formula>F35=""</formula>
    </cfRule>
  </conditionalFormatting>
  <conditionalFormatting sqref="G26:G36">
    <cfRule type="expression" dxfId="0" priority="1" stopIfTrue="1">
      <formula>G26=""</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25063-E16F-4C89-96FF-1BF6E3A177F7}">
  <sheetPr>
    <pageSetUpPr fitToPage="1"/>
  </sheetPr>
  <dimension ref="B2:L46"/>
  <sheetViews>
    <sheetView workbookViewId="0">
      <selection activeCell="H19" sqref="H19"/>
    </sheetView>
  </sheetViews>
  <sheetFormatPr baseColWidth="10" defaultColWidth="8.88671875" defaultRowHeight="15" customHeight="1" x14ac:dyDescent="0.3"/>
  <cols>
    <col min="1" max="1" width="8.88671875" style="169"/>
    <col min="2" max="2" width="2.44140625" style="169" customWidth="1"/>
    <col min="3" max="3" width="31.88671875" style="169" customWidth="1"/>
    <col min="4" max="4" width="25.109375" style="169" customWidth="1"/>
    <col min="5" max="5" width="39.109375" style="169" customWidth="1"/>
    <col min="6" max="6" width="2.44140625" style="169" customWidth="1"/>
    <col min="7" max="8" width="13.109375" style="169" customWidth="1"/>
    <col min="9" max="9" width="12" style="169" customWidth="1"/>
    <col min="10" max="10" width="11.109375" style="169" customWidth="1"/>
    <col min="11" max="11" width="12.33203125" style="169" customWidth="1"/>
    <col min="12" max="12" width="12.6640625" style="169" customWidth="1"/>
    <col min="13" max="16384" width="8.88671875" style="169"/>
  </cols>
  <sheetData>
    <row r="2" spans="2:12" ht="14.4" x14ac:dyDescent="0.3">
      <c r="B2" s="171"/>
      <c r="C2" s="171"/>
      <c r="D2" s="171"/>
      <c r="E2" s="171"/>
      <c r="F2" s="171"/>
    </row>
    <row r="3" spans="2:12" ht="21.6" customHeight="1" x14ac:dyDescent="0.85">
      <c r="B3" s="171"/>
      <c r="C3" s="212" t="e" vm="1">
        <v>#VALUE!</v>
      </c>
      <c r="D3" s="212"/>
      <c r="E3" s="212"/>
      <c r="F3" s="171"/>
    </row>
    <row r="4" spans="2:12" ht="15" customHeight="1" x14ac:dyDescent="0.3">
      <c r="B4" s="171"/>
      <c r="C4" s="172"/>
      <c r="D4" s="172"/>
      <c r="E4" s="172"/>
      <c r="F4" s="171"/>
    </row>
    <row r="5" spans="2:12" ht="20.25" customHeight="1" x14ac:dyDescent="0.4">
      <c r="B5" s="171"/>
      <c r="C5" s="210" t="s">
        <v>39</v>
      </c>
      <c r="D5" s="210"/>
      <c r="E5" s="210"/>
      <c r="F5" s="171"/>
    </row>
    <row r="6" spans="2:12" ht="15" customHeight="1" x14ac:dyDescent="0.3">
      <c r="B6" s="171"/>
      <c r="C6" s="171"/>
      <c r="D6" s="171"/>
      <c r="E6" s="171"/>
      <c r="F6" s="171"/>
    </row>
    <row r="7" spans="2:12" ht="14.25" customHeight="1" x14ac:dyDescent="0.3"/>
    <row r="8" spans="2:12" ht="15" customHeight="1" x14ac:dyDescent="0.3">
      <c r="C8" s="187" t="s">
        <v>40</v>
      </c>
    </row>
    <row r="9" spans="2:12" s="186" customFormat="1" ht="15.6" x14ac:dyDescent="0.3">
      <c r="C9" s="187" t="s">
        <v>41</v>
      </c>
    </row>
    <row r="10" spans="2:12" s="186" customFormat="1" ht="15.6" x14ac:dyDescent="0.3">
      <c r="C10" s="187" t="s">
        <v>42</v>
      </c>
    </row>
    <row r="11" spans="2:12" s="186" customFormat="1" ht="15.6" x14ac:dyDescent="0.3">
      <c r="C11" s="187" t="s">
        <v>43</v>
      </c>
    </row>
    <row r="12" spans="2:12" s="186" customFormat="1" ht="15.6" x14ac:dyDescent="0.3">
      <c r="C12" s="188" t="s">
        <v>44</v>
      </c>
    </row>
    <row r="13" spans="2:12" ht="15.6" x14ac:dyDescent="0.3">
      <c r="I13" s="186"/>
      <c r="J13" s="186"/>
      <c r="K13" s="186"/>
      <c r="L13" s="186"/>
    </row>
    <row r="14" spans="2:12" ht="15.6" x14ac:dyDescent="0.3">
      <c r="I14" s="186"/>
      <c r="J14" s="186"/>
      <c r="K14" s="186"/>
      <c r="L14" s="186"/>
    </row>
    <row r="15" spans="2:12" ht="15.6" x14ac:dyDescent="0.3">
      <c r="C15" s="1"/>
      <c r="D15" s="189" t="s">
        <v>45</v>
      </c>
      <c r="E15" s="190" t="s">
        <v>46</v>
      </c>
      <c r="F15" s="186"/>
      <c r="G15" s="186"/>
      <c r="H15" s="186"/>
      <c r="I15" s="186"/>
    </row>
    <row r="16" spans="2:12" ht="15.6" x14ac:dyDescent="0.3">
      <c r="C16" s="4" t="s">
        <v>47</v>
      </c>
      <c r="D16" s="2"/>
      <c r="E16" s="2"/>
      <c r="F16" s="186"/>
      <c r="G16" s="186"/>
      <c r="H16" s="186"/>
      <c r="I16" s="186"/>
    </row>
    <row r="17" spans="3:9" ht="15.6" x14ac:dyDescent="0.3">
      <c r="C17" s="1" t="s">
        <v>48</v>
      </c>
      <c r="D17" s="3">
        <f>SUM(Consumos!E17,Consumos!E33,Consumos!H56)</f>
        <v>19758.664079999999</v>
      </c>
      <c r="E17" s="3">
        <f>D17/1000</f>
        <v>19.758664079999999</v>
      </c>
      <c r="F17" s="186"/>
      <c r="G17" s="186"/>
      <c r="H17" s="186"/>
      <c r="I17" s="186"/>
    </row>
    <row r="18" spans="3:9" ht="15.6" x14ac:dyDescent="0.3">
      <c r="C18" s="191"/>
      <c r="D18" s="3"/>
      <c r="E18" s="3"/>
      <c r="F18" s="186"/>
      <c r="G18" s="186"/>
      <c r="H18" s="186"/>
      <c r="I18" s="186"/>
    </row>
    <row r="19" spans="3:9" ht="15.6" x14ac:dyDescent="0.3">
      <c r="C19" s="192" t="s">
        <v>49</v>
      </c>
      <c r="D19" s="3"/>
      <c r="E19" s="3"/>
      <c r="F19" s="186"/>
      <c r="G19" s="186"/>
      <c r="H19" s="186"/>
      <c r="I19" s="186"/>
    </row>
    <row r="20" spans="3:9" ht="15.6" x14ac:dyDescent="0.3">
      <c r="C20" s="1" t="s">
        <v>48</v>
      </c>
      <c r="D20" s="3">
        <f>Consumos!E76</f>
        <v>829.5</v>
      </c>
      <c r="E20" s="3">
        <f t="shared" ref="E20:E26" si="0">D20/1000</f>
        <v>0.82950000000000002</v>
      </c>
      <c r="F20" s="186"/>
      <c r="G20" s="186"/>
      <c r="H20" s="186"/>
      <c r="I20" s="186"/>
    </row>
    <row r="21" spans="3:9" ht="15.6" x14ac:dyDescent="0.3">
      <c r="C21" s="1"/>
      <c r="D21" s="3"/>
      <c r="E21" s="3"/>
      <c r="F21" s="186"/>
      <c r="G21" s="186"/>
      <c r="H21" s="186"/>
      <c r="I21" s="186"/>
    </row>
    <row r="22" spans="3:9" ht="15.6" x14ac:dyDescent="0.3">
      <c r="C22" s="4" t="s">
        <v>50</v>
      </c>
      <c r="D22" s="3"/>
      <c r="E22" s="3"/>
      <c r="F22" s="186"/>
      <c r="G22" s="186"/>
      <c r="H22" s="186"/>
      <c r="I22" s="186"/>
    </row>
    <row r="23" spans="3:9" ht="15.6" x14ac:dyDescent="0.3">
      <c r="C23" s="4" t="s">
        <v>51</v>
      </c>
      <c r="D23" s="3">
        <f>Consumos!D101</f>
        <v>340.2</v>
      </c>
      <c r="E23" s="3">
        <f t="shared" si="0"/>
        <v>0.3402</v>
      </c>
      <c r="F23" s="186"/>
      <c r="G23" s="186"/>
      <c r="H23" s="186"/>
      <c r="I23" s="186"/>
    </row>
    <row r="24" spans="3:9" ht="15.6" x14ac:dyDescent="0.3">
      <c r="C24" s="4" t="s">
        <v>52</v>
      </c>
      <c r="D24" s="3">
        <f>SUM('Mov. interna (runners y staff)'!H36,'Mov. interna (runners y staff)'!I72,'Mov. Proveedores'!J39,'Mov. artistas'!P62,'Mov. audiencia'!P62)</f>
        <v>1134.3059520805371</v>
      </c>
      <c r="E24" s="3">
        <f t="shared" si="0"/>
        <v>1.134305952080537</v>
      </c>
      <c r="F24" s="186"/>
      <c r="G24" s="186"/>
      <c r="H24" s="186"/>
      <c r="I24" s="186"/>
    </row>
    <row r="25" spans="3:9" ht="15.6" x14ac:dyDescent="0.3">
      <c r="C25" s="4" t="s">
        <v>53</v>
      </c>
      <c r="D25" s="3">
        <f>SUM(Alojamientos!E61,Alojamientos!J61)</f>
        <v>97.6</v>
      </c>
      <c r="E25" s="3">
        <f t="shared" si="0"/>
        <v>9.7599999999999992E-2</v>
      </c>
      <c r="F25" s="186"/>
      <c r="G25" s="186"/>
      <c r="H25" s="186"/>
      <c r="I25" s="186"/>
    </row>
    <row r="26" spans="3:9" ht="15.6" x14ac:dyDescent="0.3">
      <c r="C26" s="4" t="s">
        <v>54</v>
      </c>
      <c r="D26" s="3">
        <f>SUM('Materiales y Residuos'!D23,'Materiales y Residuos'!G48)</f>
        <v>247.2312701518137</v>
      </c>
      <c r="E26" s="3">
        <f t="shared" si="0"/>
        <v>0.2472312701518137</v>
      </c>
      <c r="F26" s="186"/>
      <c r="G26" s="186"/>
      <c r="H26" s="186"/>
      <c r="I26" s="186"/>
    </row>
    <row r="27" spans="3:9" ht="15.6" x14ac:dyDescent="0.3">
      <c r="C27" s="1" t="s">
        <v>48</v>
      </c>
      <c r="D27" s="3">
        <f>SUM(D23:D26)</f>
        <v>1819.3372222323508</v>
      </c>
      <c r="E27" s="3">
        <f>SUM(E23:E26)</f>
        <v>1.8193372222323507</v>
      </c>
      <c r="F27" s="186"/>
      <c r="G27" s="186"/>
      <c r="H27" s="186"/>
      <c r="I27" s="186"/>
    </row>
    <row r="28" spans="3:9" ht="15.6" x14ac:dyDescent="0.3">
      <c r="C28" s="1"/>
      <c r="D28" s="3"/>
      <c r="E28" s="3"/>
      <c r="F28" s="186"/>
      <c r="G28" s="186"/>
      <c r="H28" s="186"/>
      <c r="I28" s="186"/>
    </row>
    <row r="29" spans="3:9" ht="15.6" x14ac:dyDescent="0.3">
      <c r="C29" s="4" t="s">
        <v>55</v>
      </c>
      <c r="D29" s="193">
        <f>SUM(D17,D20,D24)</f>
        <v>21722.470032080535</v>
      </c>
      <c r="E29" s="3">
        <f>D29/1000</f>
        <v>21.722470032080533</v>
      </c>
      <c r="F29" s="186"/>
      <c r="G29" s="186"/>
      <c r="H29" s="186"/>
      <c r="I29" s="186"/>
    </row>
    <row r="30" spans="3:9" ht="15.6" x14ac:dyDescent="0.3">
      <c r="C30" s="1"/>
      <c r="D30" s="194"/>
      <c r="E30" s="194"/>
      <c r="F30" s="186"/>
      <c r="G30" s="186"/>
      <c r="H30" s="186"/>
      <c r="I30" s="186"/>
    </row>
    <row r="31" spans="3:9" ht="15.6" x14ac:dyDescent="0.3">
      <c r="C31" s="1"/>
      <c r="D31" s="190" t="s">
        <v>45</v>
      </c>
      <c r="E31" s="190" t="s">
        <v>46</v>
      </c>
      <c r="F31" s="186"/>
      <c r="G31" s="186"/>
      <c r="H31" s="186"/>
      <c r="I31" s="186"/>
    </row>
    <row r="32" spans="3:9" ht="28.8" x14ac:dyDescent="0.3">
      <c r="C32" s="195" t="s">
        <v>56</v>
      </c>
      <c r="D32" s="196">
        <f>$D$29/$D$35</f>
        <v>108.61235016040267</v>
      </c>
      <c r="E32" s="196">
        <f>D32/1000</f>
        <v>0.10861235016040267</v>
      </c>
      <c r="F32" s="186"/>
      <c r="G32" s="186"/>
      <c r="H32" s="186"/>
      <c r="I32" s="186"/>
    </row>
    <row r="33" spans="2:9" ht="28.8" x14ac:dyDescent="0.3">
      <c r="C33" s="197" t="s">
        <v>57</v>
      </c>
      <c r="D33" s="196">
        <f>$D$29/$D$36</f>
        <v>4.3444940064161067E-2</v>
      </c>
      <c r="E33" s="196">
        <f>D33/1000</f>
        <v>4.3444940064161069E-5</v>
      </c>
      <c r="F33" s="186"/>
      <c r="G33" s="186"/>
      <c r="H33" s="186"/>
      <c r="I33" s="186"/>
    </row>
    <row r="34" spans="2:9" ht="15.6" x14ac:dyDescent="0.3">
      <c r="C34" s="1"/>
      <c r="D34" s="1"/>
      <c r="E34" s="1"/>
      <c r="F34" s="186"/>
      <c r="G34" s="186"/>
      <c r="H34" s="186"/>
      <c r="I34" s="186"/>
    </row>
    <row r="35" spans="2:9" ht="14.4" x14ac:dyDescent="0.3">
      <c r="C35" s="191" t="s">
        <v>58</v>
      </c>
      <c r="D35" s="1">
        <v>200</v>
      </c>
      <c r="E35" s="1"/>
    </row>
    <row r="36" spans="2:9" ht="14.4" x14ac:dyDescent="0.3">
      <c r="C36" s="191" t="s">
        <v>59</v>
      </c>
      <c r="D36" s="198">
        <v>500000</v>
      </c>
      <c r="E36" s="198"/>
    </row>
    <row r="39" spans="2:9" ht="14.4" x14ac:dyDescent="0.3"/>
    <row r="40" spans="2:9" ht="14.4" x14ac:dyDescent="0.3"/>
    <row r="42" spans="2:9" ht="15" customHeight="1" x14ac:dyDescent="0.3">
      <c r="B42" s="171"/>
      <c r="C42" s="171"/>
      <c r="D42" s="171"/>
      <c r="E42" s="171"/>
      <c r="F42" s="171"/>
    </row>
    <row r="43" spans="2:9" ht="14.4" customHeight="1" x14ac:dyDescent="0.3">
      <c r="B43" s="171"/>
      <c r="C43" s="211" t="e" vm="2">
        <v>#VALUE!</v>
      </c>
      <c r="D43" s="211"/>
      <c r="E43" s="211"/>
      <c r="F43" s="171"/>
    </row>
    <row r="44" spans="2:9" ht="15" customHeight="1" x14ac:dyDescent="0.3">
      <c r="B44" s="171"/>
      <c r="C44" s="211"/>
      <c r="D44" s="211"/>
      <c r="E44" s="211"/>
      <c r="F44" s="171"/>
    </row>
    <row r="45" spans="2:9" ht="15" customHeight="1" x14ac:dyDescent="0.3">
      <c r="B45" s="171"/>
      <c r="C45" s="211"/>
      <c r="D45" s="211"/>
      <c r="E45" s="211"/>
      <c r="F45" s="171"/>
    </row>
    <row r="46" spans="2:9" ht="15" customHeight="1" x14ac:dyDescent="0.3">
      <c r="B46" s="171"/>
      <c r="C46" s="171"/>
      <c r="D46" s="171"/>
      <c r="E46" s="171"/>
      <c r="F46" s="171"/>
    </row>
  </sheetData>
  <sheetProtection algorithmName="SHA-512" hashValue="WBLNz8GjQ3RAVXkdvnvOHRqdbzczps9c9qRMWKOCObhFF5t11V2+Ky8L5guk/X62QTpUFoQsfYBV2Pb58mR7Ng==" saltValue="XCT0ze4C97/2cxMYt7Rvuw==" spinCount="100000" sheet="1" objects="1" scenarios="1"/>
  <mergeCells count="3">
    <mergeCell ref="C5:E5"/>
    <mergeCell ref="C43:E45"/>
    <mergeCell ref="C3:E3"/>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DA5F4A7-CBFE-4B5D-AAD3-598BE0BC4B02}">
          <x14:formula1>
            <xm:f>'FE Consumos'!$L$4:$L$5</xm:f>
          </x14:formula1>
          <xm:sqref>D11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83D6D-781F-46DA-82B8-3C52D8CCDDF3}">
  <sheetPr codeName="Sheet2"/>
  <dimension ref="B2:AA101"/>
  <sheetViews>
    <sheetView topLeftCell="A18" zoomScaleNormal="100" workbookViewId="0">
      <selection activeCell="P41" sqref="P41"/>
    </sheetView>
  </sheetViews>
  <sheetFormatPr baseColWidth="10" defaultColWidth="11.5546875" defaultRowHeight="15" customHeight="1" x14ac:dyDescent="0.3"/>
  <cols>
    <col min="1" max="1" width="11.5546875" style="1"/>
    <col min="2" max="5" width="30.33203125" style="1" customWidth="1"/>
    <col min="6" max="6" width="21.33203125" style="1" customWidth="1"/>
    <col min="7" max="7" width="20.44140625" style="1" customWidth="1"/>
    <col min="8" max="10" width="18.109375" style="1" customWidth="1"/>
    <col min="11" max="11" width="29.33203125" style="1" customWidth="1"/>
    <col min="12" max="13" width="18.109375" style="1" customWidth="1"/>
    <col min="14" max="14" width="31" style="144" hidden="1" customWidth="1"/>
    <col min="15" max="15" width="23.88671875" style="144" hidden="1" customWidth="1"/>
    <col min="16" max="16" width="18.6640625" style="144" hidden="1" customWidth="1"/>
    <col min="17" max="18" width="28" style="144" hidden="1" customWidth="1"/>
    <col min="19" max="19" width="25" style="144" hidden="1" customWidth="1"/>
    <col min="20" max="23" width="28.44140625" style="144" hidden="1" customWidth="1"/>
    <col min="24" max="25" width="28.44140625" style="1" customWidth="1"/>
    <col min="26" max="16384" width="11.5546875" style="1"/>
  </cols>
  <sheetData>
    <row r="2" spans="2:27" ht="25.5" customHeight="1" x14ac:dyDescent="0.3">
      <c r="B2" s="10" t="s">
        <v>15</v>
      </c>
      <c r="G2" s="214" t="s">
        <v>60</v>
      </c>
      <c r="H2" s="214"/>
      <c r="I2" s="213" t="s">
        <v>61</v>
      </c>
      <c r="J2" s="213"/>
    </row>
    <row r="3" spans="2:27" ht="18" x14ac:dyDescent="0.35">
      <c r="B3" s="13"/>
      <c r="U3" s="145"/>
    </row>
    <row r="4" spans="2:27" ht="26.25" customHeight="1" x14ac:dyDescent="0.3">
      <c r="B4" s="215" t="s">
        <v>16</v>
      </c>
      <c r="C4" s="215"/>
      <c r="D4" s="215"/>
      <c r="E4" s="215"/>
      <c r="F4" s="20"/>
      <c r="G4" s="20"/>
      <c r="H4" s="20"/>
      <c r="I4" s="20"/>
    </row>
    <row r="5" spans="2:27" ht="14.4" x14ac:dyDescent="0.3">
      <c r="B5" s="217" t="s">
        <v>62</v>
      </c>
      <c r="C5" s="217"/>
      <c r="D5" s="217"/>
      <c r="E5" s="217"/>
      <c r="F5" s="217"/>
      <c r="G5" s="27"/>
      <c r="H5" s="27"/>
      <c r="I5" s="27"/>
      <c r="J5" s="27"/>
      <c r="K5" s="27"/>
    </row>
    <row r="6" spans="2:27" ht="14.4" x14ac:dyDescent="0.3">
      <c r="B6" s="28" t="s">
        <v>63</v>
      </c>
    </row>
    <row r="8" spans="2:27" s="14" customFormat="1" ht="45.6" customHeight="1" x14ac:dyDescent="0.3">
      <c r="B8" s="83" t="s">
        <v>64</v>
      </c>
      <c r="C8" s="83" t="s">
        <v>65</v>
      </c>
      <c r="D8" s="83" t="s">
        <v>66</v>
      </c>
      <c r="E8" s="83" t="s">
        <v>67</v>
      </c>
      <c r="L8" s="12"/>
      <c r="N8" s="146"/>
      <c r="O8" s="146"/>
      <c r="P8" s="147" t="s">
        <v>68</v>
      </c>
      <c r="Q8" s="147" t="s">
        <v>69</v>
      </c>
      <c r="R8" s="147" t="s">
        <v>70</v>
      </c>
      <c r="S8" s="147" t="s">
        <v>71</v>
      </c>
      <c r="T8" s="147" t="s">
        <v>72</v>
      </c>
      <c r="U8" s="147" t="s">
        <v>73</v>
      </c>
      <c r="V8" s="146"/>
      <c r="W8" s="146"/>
      <c r="AA8" s="12"/>
    </row>
    <row r="9" spans="2:27" ht="25.5" customHeight="1" x14ac:dyDescent="0.3">
      <c r="B9" s="21">
        <v>1</v>
      </c>
      <c r="C9" s="22" t="s">
        <v>74</v>
      </c>
      <c r="D9" s="22" t="s">
        <v>75</v>
      </c>
      <c r="E9" s="26">
        <f>SUM(S9:U9)</f>
        <v>7261.8671999999997</v>
      </c>
      <c r="L9" s="15"/>
      <c r="P9" s="148">
        <f>C9*B9*'FE Consumos'!$G$5</f>
        <v>27.3</v>
      </c>
      <c r="Q9" s="148">
        <f>B9*C9*'FE Consumos'!$H$5</f>
        <v>2.3999999999999998E-3</v>
      </c>
      <c r="R9" s="148">
        <f>C9*B9*'FE Consumos'!$I$5</f>
        <v>0</v>
      </c>
      <c r="S9" s="148">
        <f>P9</f>
        <v>27.3</v>
      </c>
      <c r="T9" s="149">
        <f>Q9*28</f>
        <v>6.7199999999999996E-2</v>
      </c>
      <c r="U9" s="149">
        <f>S9*265</f>
        <v>7234.5</v>
      </c>
    </row>
    <row r="10" spans="2:27" ht="25.5" customHeight="1" x14ac:dyDescent="0.3">
      <c r="B10" s="21">
        <v>3</v>
      </c>
      <c r="C10" s="22" t="s">
        <v>726</v>
      </c>
      <c r="D10" s="22" t="s">
        <v>76</v>
      </c>
      <c r="E10" s="26">
        <f t="shared" ref="E10:E15" si="0">SUM(S10:U10)</f>
        <v>2904.7468800000001</v>
      </c>
      <c r="L10" s="15"/>
      <c r="P10" s="148">
        <f>C10*B10*'FE Consumos'!$G$5</f>
        <v>10.92</v>
      </c>
      <c r="Q10" s="148">
        <f>B10*C10*'FE Consumos'!$H$5</f>
        <v>9.5999999999999992E-4</v>
      </c>
      <c r="R10" s="148">
        <f>C10*B10*'FE Consumos'!$I$5</f>
        <v>0</v>
      </c>
      <c r="S10" s="148">
        <f t="shared" ref="S10:S14" si="1">P10</f>
        <v>10.92</v>
      </c>
      <c r="T10" s="149">
        <f t="shared" ref="T10:T14" si="2">Q10*28</f>
        <v>2.6879999999999998E-2</v>
      </c>
      <c r="U10" s="149">
        <f t="shared" ref="U10:U14" si="3">S10*265</f>
        <v>2893.8</v>
      </c>
      <c r="V10" s="150"/>
      <c r="W10" s="151"/>
      <c r="X10" s="72"/>
    </row>
    <row r="11" spans="2:27" ht="25.5" customHeight="1" x14ac:dyDescent="0.3">
      <c r="B11" s="21"/>
      <c r="C11" s="22"/>
      <c r="D11" s="22"/>
      <c r="E11" s="26">
        <f t="shared" si="0"/>
        <v>0</v>
      </c>
      <c r="L11" s="15"/>
      <c r="P11" s="148">
        <f>C11*B11*'FE Consumos'!$G$5</f>
        <v>0</v>
      </c>
      <c r="Q11" s="148">
        <f>B11*C11*'FE Consumos'!$H$5</f>
        <v>0</v>
      </c>
      <c r="R11" s="148">
        <f>C11*B11*'FE Consumos'!$I$5</f>
        <v>0</v>
      </c>
      <c r="S11" s="148">
        <f t="shared" si="1"/>
        <v>0</v>
      </c>
      <c r="T11" s="149">
        <f t="shared" si="2"/>
        <v>0</v>
      </c>
      <c r="U11" s="149">
        <f t="shared" si="3"/>
        <v>0</v>
      </c>
      <c r="V11" s="150"/>
      <c r="W11" s="151"/>
      <c r="X11" s="72"/>
    </row>
    <row r="12" spans="2:27" ht="25.5" customHeight="1" x14ac:dyDescent="0.3">
      <c r="B12" s="21"/>
      <c r="C12" s="22"/>
      <c r="D12" s="22"/>
      <c r="E12" s="26">
        <f t="shared" si="0"/>
        <v>0</v>
      </c>
      <c r="L12" s="15"/>
      <c r="P12" s="148">
        <f>C12*B12*'FE Consumos'!$G$5</f>
        <v>0</v>
      </c>
      <c r="Q12" s="148">
        <f>B12*C12*'FE Consumos'!$H$5</f>
        <v>0</v>
      </c>
      <c r="R12" s="148">
        <f>C12*B12*'FE Consumos'!$I$5</f>
        <v>0</v>
      </c>
      <c r="S12" s="148">
        <f t="shared" si="1"/>
        <v>0</v>
      </c>
      <c r="T12" s="149">
        <f t="shared" si="2"/>
        <v>0</v>
      </c>
      <c r="U12" s="149">
        <f t="shared" si="3"/>
        <v>0</v>
      </c>
      <c r="V12" s="150"/>
      <c r="W12" s="151"/>
      <c r="X12" s="72"/>
    </row>
    <row r="13" spans="2:27" ht="25.5" customHeight="1" x14ac:dyDescent="0.3">
      <c r="B13" s="21"/>
      <c r="C13" s="22"/>
      <c r="D13" s="22"/>
      <c r="E13" s="26">
        <f t="shared" si="0"/>
        <v>0</v>
      </c>
      <c r="L13" s="15"/>
      <c r="P13" s="148">
        <f>C13*B13*'FE Consumos'!$G$5</f>
        <v>0</v>
      </c>
      <c r="Q13" s="148">
        <f>B13*C13*'FE Consumos'!$H$5</f>
        <v>0</v>
      </c>
      <c r="R13" s="148">
        <f>C13*B13*'FE Consumos'!$I$5</f>
        <v>0</v>
      </c>
      <c r="S13" s="148">
        <f t="shared" si="1"/>
        <v>0</v>
      </c>
      <c r="T13" s="149">
        <f t="shared" si="2"/>
        <v>0</v>
      </c>
      <c r="U13" s="149">
        <f t="shared" si="3"/>
        <v>0</v>
      </c>
      <c r="V13" s="150"/>
      <c r="W13" s="151"/>
      <c r="X13" s="72"/>
    </row>
    <row r="14" spans="2:27" ht="25.5" customHeight="1" x14ac:dyDescent="0.3">
      <c r="B14" s="21"/>
      <c r="C14" s="22"/>
      <c r="D14" s="22"/>
      <c r="E14" s="26">
        <f t="shared" si="0"/>
        <v>0</v>
      </c>
      <c r="L14" s="15"/>
      <c r="P14" s="148">
        <f>C14*B14*'FE Consumos'!$G$5</f>
        <v>0</v>
      </c>
      <c r="Q14" s="148">
        <f>B14*C14*'FE Consumos'!$H$5</f>
        <v>0</v>
      </c>
      <c r="R14" s="148">
        <f>C14*B14*'FE Consumos'!$I$5</f>
        <v>0</v>
      </c>
      <c r="S14" s="148">
        <f t="shared" si="1"/>
        <v>0</v>
      </c>
      <c r="T14" s="149">
        <f t="shared" si="2"/>
        <v>0</v>
      </c>
      <c r="U14" s="149">
        <f t="shared" si="3"/>
        <v>0</v>
      </c>
      <c r="V14" s="150"/>
      <c r="W14" s="151"/>
      <c r="X14" s="72"/>
    </row>
    <row r="15" spans="2:27" ht="25.5" customHeight="1" x14ac:dyDescent="0.3">
      <c r="B15" s="21"/>
      <c r="C15" s="22"/>
      <c r="D15" s="22"/>
      <c r="E15" s="26">
        <f t="shared" si="0"/>
        <v>0</v>
      </c>
      <c r="L15" s="15"/>
      <c r="P15" s="148">
        <f>C15*B15*'FE Consumos'!$G$5</f>
        <v>0</v>
      </c>
      <c r="Q15" s="148">
        <f>B15*C15*'FE Consumos'!$H$5</f>
        <v>0</v>
      </c>
      <c r="R15" s="148">
        <f>C15*B15*'FE Consumos'!$I$5</f>
        <v>0</v>
      </c>
      <c r="S15" s="148">
        <f>P15</f>
        <v>0</v>
      </c>
      <c r="T15" s="149">
        <f>Q15*28</f>
        <v>0</v>
      </c>
      <c r="U15" s="149">
        <f>S15*265</f>
        <v>0</v>
      </c>
      <c r="V15" s="150"/>
      <c r="W15" s="151"/>
      <c r="X15" s="72"/>
    </row>
    <row r="16" spans="2:27" ht="14.4" x14ac:dyDescent="0.3">
      <c r="C16" s="16"/>
      <c r="D16" s="16"/>
      <c r="E16" s="16"/>
    </row>
    <row r="17" spans="2:16" ht="39.75" customHeight="1" x14ac:dyDescent="0.3">
      <c r="D17" s="84" t="s">
        <v>77</v>
      </c>
      <c r="E17" s="22">
        <f>SUM(E9:E15)</f>
        <v>10166.614079999999</v>
      </c>
    </row>
    <row r="18" spans="2:16" ht="14.4" x14ac:dyDescent="0.3">
      <c r="N18" s="152"/>
      <c r="O18" s="152"/>
    </row>
    <row r="19" spans="2:16" ht="14.25" customHeight="1" x14ac:dyDescent="0.3"/>
    <row r="21" spans="2:16" ht="26.25" customHeight="1" x14ac:dyDescent="0.3">
      <c r="B21" s="215" t="s">
        <v>78</v>
      </c>
      <c r="C21" s="215"/>
      <c r="D21" s="215"/>
      <c r="E21" s="215"/>
      <c r="F21" s="20" t="s">
        <v>79</v>
      </c>
      <c r="G21" s="20" t="s">
        <v>79</v>
      </c>
      <c r="H21" s="71"/>
      <c r="I21" s="20"/>
    </row>
    <row r="22" spans="2:16" ht="14.4" x14ac:dyDescent="0.3">
      <c r="B22" s="217" t="s">
        <v>80</v>
      </c>
      <c r="C22" s="218"/>
      <c r="D22" s="218"/>
      <c r="E22" s="218"/>
      <c r="F22" s="218"/>
      <c r="G22" s="218"/>
      <c r="H22" s="218"/>
      <c r="I22" s="218"/>
      <c r="J22" s="218"/>
      <c r="K22" s="218"/>
    </row>
    <row r="23" spans="2:16" ht="14.4" x14ac:dyDescent="0.3">
      <c r="B23" s="219" t="s">
        <v>81</v>
      </c>
      <c r="C23" s="219"/>
      <c r="D23" s="219"/>
      <c r="E23" s="219"/>
      <c r="F23" s="219"/>
      <c r="G23" s="219"/>
      <c r="H23" s="219"/>
      <c r="I23" s="219"/>
      <c r="J23" s="219"/>
      <c r="K23" s="219"/>
    </row>
    <row r="25" spans="2:16" ht="34.5" customHeight="1" x14ac:dyDescent="0.3">
      <c r="B25" s="67" t="s">
        <v>82</v>
      </c>
      <c r="C25" s="67" t="s">
        <v>83</v>
      </c>
      <c r="D25" s="67" t="s">
        <v>84</v>
      </c>
      <c r="E25" s="67" t="s">
        <v>85</v>
      </c>
      <c r="P25" s="147" t="s">
        <v>86</v>
      </c>
    </row>
    <row r="26" spans="2:16" ht="14.4" x14ac:dyDescent="0.3">
      <c r="B26" s="23" t="s">
        <v>87</v>
      </c>
      <c r="C26" s="23">
        <v>2</v>
      </c>
      <c r="D26" s="86" t="s">
        <v>88</v>
      </c>
      <c r="E26" s="68">
        <f t="shared" ref="E26:E31" si="4">IFERROR(C26*P26,"NA")</f>
        <v>9456</v>
      </c>
      <c r="H26" s="12"/>
      <c r="I26" s="12"/>
      <c r="J26" s="12"/>
      <c r="K26" s="12"/>
      <c r="L26" s="12"/>
      <c r="M26" s="12"/>
      <c r="N26" s="146"/>
      <c r="O26" s="146"/>
      <c r="P26" s="153">
        <f>IFERROR(VLOOKUP(B26,'FE Consumos'!$G$15:$I$59,3,FALSE),"NA")</f>
        <v>4728</v>
      </c>
    </row>
    <row r="27" spans="2:16" ht="14.4" x14ac:dyDescent="0.3">
      <c r="B27" s="23"/>
      <c r="C27" s="23"/>
      <c r="D27" s="86"/>
      <c r="E27" s="68" t="str">
        <f t="shared" si="4"/>
        <v>NA</v>
      </c>
      <c r="H27" s="12"/>
      <c r="I27" s="12"/>
      <c r="J27" s="12"/>
      <c r="K27" s="12"/>
      <c r="L27" s="12"/>
      <c r="M27" s="12"/>
      <c r="N27" s="146"/>
      <c r="O27" s="146"/>
      <c r="P27" s="153" t="str">
        <f>IFERROR(VLOOKUP(B27,'FE Consumos'!$G$15:$I$59,3,FALSE),"NA")</f>
        <v>NA</v>
      </c>
    </row>
    <row r="28" spans="2:16" ht="14.4" x14ac:dyDescent="0.3">
      <c r="B28" s="23"/>
      <c r="C28" s="23"/>
      <c r="D28" s="86"/>
      <c r="E28" s="68" t="str">
        <f t="shared" si="4"/>
        <v>NA</v>
      </c>
      <c r="H28" s="12"/>
      <c r="I28" s="12"/>
      <c r="J28" s="12"/>
      <c r="K28" s="12"/>
      <c r="L28" s="12"/>
      <c r="M28" s="12"/>
      <c r="N28" s="146"/>
      <c r="O28" s="146"/>
      <c r="P28" s="153" t="str">
        <f>IFERROR(VLOOKUP(B28,'FE Consumos'!$G$15:$I$59,3,FALSE),"NA")</f>
        <v>NA</v>
      </c>
    </row>
    <row r="29" spans="2:16" ht="14.4" x14ac:dyDescent="0.3">
      <c r="B29" s="23"/>
      <c r="C29" s="23"/>
      <c r="D29" s="86"/>
      <c r="E29" s="68" t="str">
        <f t="shared" si="4"/>
        <v>NA</v>
      </c>
      <c r="H29" s="12"/>
      <c r="I29" s="12"/>
      <c r="J29" s="12"/>
      <c r="K29" s="12"/>
      <c r="L29" s="12"/>
      <c r="M29" s="12"/>
      <c r="N29" s="146"/>
      <c r="O29" s="146"/>
      <c r="P29" s="153" t="str">
        <f>IFERROR(VLOOKUP(B29,'FE Consumos'!$G$15:$I$59,3,FALSE),"NA")</f>
        <v>NA</v>
      </c>
    </row>
    <row r="30" spans="2:16" ht="14.4" x14ac:dyDescent="0.3">
      <c r="B30" s="23"/>
      <c r="C30" s="23"/>
      <c r="D30" s="86"/>
      <c r="E30" s="68" t="str">
        <f t="shared" si="4"/>
        <v>NA</v>
      </c>
      <c r="H30" s="12"/>
      <c r="I30" s="12"/>
      <c r="J30" s="12"/>
      <c r="K30" s="12"/>
      <c r="L30" s="12"/>
      <c r="M30" s="12"/>
      <c r="N30" s="146"/>
      <c r="O30" s="146"/>
      <c r="P30" s="153" t="str">
        <f>IFERROR(VLOOKUP(B30,'FE Consumos'!$G$15:$I$59,3,FALSE),"NA")</f>
        <v>NA</v>
      </c>
    </row>
    <row r="31" spans="2:16" ht="14.4" x14ac:dyDescent="0.3">
      <c r="B31" s="23"/>
      <c r="C31" s="23"/>
      <c r="D31" s="86"/>
      <c r="E31" s="68" t="str">
        <f t="shared" si="4"/>
        <v>NA</v>
      </c>
      <c r="H31" s="12"/>
      <c r="I31" s="12"/>
      <c r="J31" s="12"/>
      <c r="K31" s="12"/>
      <c r="L31" s="12"/>
      <c r="M31" s="12"/>
      <c r="N31" s="146"/>
      <c r="O31" s="146"/>
      <c r="P31" s="153" t="str">
        <f>IFERROR(VLOOKUP(B31,'FE Consumos'!$G$15:$I$59,3,FALSE),"NA")</f>
        <v>NA</v>
      </c>
    </row>
    <row r="32" spans="2:16" ht="14.4" x14ac:dyDescent="0.3">
      <c r="G32" s="15"/>
      <c r="H32" s="15"/>
      <c r="I32" s="15"/>
      <c r="J32" s="15"/>
      <c r="K32" s="15"/>
      <c r="L32" s="15"/>
    </row>
    <row r="33" spans="2:16" ht="36" customHeight="1" x14ac:dyDescent="0.3">
      <c r="D33" s="69" t="s">
        <v>77</v>
      </c>
      <c r="E33" s="70">
        <f>SUM(E26:E31)</f>
        <v>9456</v>
      </c>
    </row>
    <row r="34" spans="2:16" ht="36" customHeight="1" x14ac:dyDescent="0.3">
      <c r="D34" s="126"/>
      <c r="E34" s="127"/>
    </row>
    <row r="36" spans="2:16" ht="30.75" customHeight="1" x14ac:dyDescent="0.3">
      <c r="B36" s="215" t="s">
        <v>20</v>
      </c>
      <c r="C36" s="215"/>
      <c r="D36" s="215"/>
      <c r="E36" s="215"/>
      <c r="F36" s="215"/>
      <c r="G36" s="215"/>
      <c r="H36" s="215"/>
      <c r="I36" s="20"/>
    </row>
    <row r="37" spans="2:16" ht="14.4" x14ac:dyDescent="0.3">
      <c r="B37" s="218" t="s">
        <v>89</v>
      </c>
      <c r="C37" s="218"/>
      <c r="D37" s="218"/>
      <c r="E37" s="218"/>
      <c r="F37" s="218"/>
      <c r="G37" s="218"/>
      <c r="H37" s="218"/>
      <c r="I37" s="218"/>
      <c r="J37" s="218"/>
      <c r="K37" s="218"/>
    </row>
    <row r="38" spans="2:16" ht="14.4" x14ac:dyDescent="0.3">
      <c r="B38" s="219" t="s">
        <v>90</v>
      </c>
      <c r="C38" s="219"/>
      <c r="D38" s="219"/>
      <c r="E38" s="219"/>
      <c r="F38" s="219"/>
      <c r="G38" s="219"/>
      <c r="H38" s="219"/>
      <c r="I38" s="219"/>
      <c r="J38" s="219"/>
      <c r="K38" s="219"/>
    </row>
    <row r="40" spans="2:16" ht="26.25" customHeight="1" x14ac:dyDescent="0.3">
      <c r="B40" s="83" t="s">
        <v>91</v>
      </c>
      <c r="C40" s="83" t="s">
        <v>92</v>
      </c>
      <c r="D40" s="83" t="s">
        <v>93</v>
      </c>
      <c r="E40" s="83" t="s">
        <v>94</v>
      </c>
      <c r="F40" s="83" t="s">
        <v>95</v>
      </c>
      <c r="G40" s="83" t="s">
        <v>96</v>
      </c>
      <c r="H40" s="83" t="s">
        <v>97</v>
      </c>
      <c r="J40" s="4"/>
      <c r="P40" s="147" t="s">
        <v>98</v>
      </c>
    </row>
    <row r="41" spans="2:16" ht="14.4" x14ac:dyDescent="0.3">
      <c r="B41" s="87" t="s">
        <v>75</v>
      </c>
      <c r="C41" s="87" t="s">
        <v>99</v>
      </c>
      <c r="D41" s="24" t="s">
        <v>100</v>
      </c>
      <c r="E41" s="24">
        <v>5</v>
      </c>
      <c r="F41" s="23">
        <v>5</v>
      </c>
      <c r="G41" s="23"/>
      <c r="H41" s="68">
        <f t="shared" ref="H41:H54" si="5">P41</f>
        <v>68.025000000000006</v>
      </c>
      <c r="P41" s="154">
        <f>IF(G41=0,E41*F41*'FE Consumos'!$H$67,G41*'FE Consumos'!$H$67)</f>
        <v>68.025000000000006</v>
      </c>
    </row>
    <row r="42" spans="2:16" ht="28.8" x14ac:dyDescent="0.3">
      <c r="B42" s="86" t="s">
        <v>76</v>
      </c>
      <c r="C42" s="86" t="s">
        <v>101</v>
      </c>
      <c r="D42" s="73" t="s">
        <v>102</v>
      </c>
      <c r="E42" s="23"/>
      <c r="F42" s="23"/>
      <c r="G42" s="23">
        <v>25</v>
      </c>
      <c r="H42" s="68">
        <f t="shared" si="5"/>
        <v>68.025000000000006</v>
      </c>
      <c r="P42" s="154">
        <f>IF(G42=0,E42*F42*'FE Consumos'!$H$67,G42*'FE Consumos'!$H$67)</f>
        <v>68.025000000000006</v>
      </c>
    </row>
    <row r="43" spans="2:16" ht="14.4" x14ac:dyDescent="0.3">
      <c r="B43" s="87" t="s">
        <v>103</v>
      </c>
      <c r="C43" s="86"/>
      <c r="D43" s="73"/>
      <c r="E43" s="23"/>
      <c r="F43" s="23"/>
      <c r="G43" s="23"/>
      <c r="H43" s="68">
        <f t="shared" si="5"/>
        <v>0</v>
      </c>
      <c r="I43" s="4"/>
      <c r="P43" s="154">
        <f>IF(G43=0,E43*F43*'FE Consumos'!$H$67,G43*'FE Consumos'!$H$67)</f>
        <v>0</v>
      </c>
    </row>
    <row r="44" spans="2:16" ht="14.4" x14ac:dyDescent="0.3">
      <c r="B44" s="86" t="s">
        <v>104</v>
      </c>
      <c r="C44" s="86"/>
      <c r="D44" s="73"/>
      <c r="E44" s="23"/>
      <c r="F44" s="23"/>
      <c r="G44" s="23"/>
      <c r="H44" s="68">
        <f t="shared" si="5"/>
        <v>0</v>
      </c>
      <c r="P44" s="154">
        <f>IF(G44=0,E44*F44*'FE Consumos'!$H$67,G44*'FE Consumos'!$H$67)</f>
        <v>0</v>
      </c>
    </row>
    <row r="45" spans="2:16" ht="14.4" x14ac:dyDescent="0.3">
      <c r="B45" s="87" t="s">
        <v>105</v>
      </c>
      <c r="C45" s="86"/>
      <c r="D45" s="73"/>
      <c r="E45" s="23"/>
      <c r="F45" s="23"/>
      <c r="G45" s="23"/>
      <c r="H45" s="68">
        <f t="shared" si="5"/>
        <v>0</v>
      </c>
      <c r="P45" s="154">
        <f>IF(G45=0,E45*F45*'FE Consumos'!$H$67,G45*'FE Consumos'!$H$67)</f>
        <v>0</v>
      </c>
    </row>
    <row r="46" spans="2:16" ht="39.75" customHeight="1" x14ac:dyDescent="0.3">
      <c r="B46" s="86" t="s">
        <v>106</v>
      </c>
      <c r="C46" s="86"/>
      <c r="D46" s="73"/>
      <c r="E46" s="23"/>
      <c r="F46" s="23"/>
      <c r="G46" s="23"/>
      <c r="H46" s="68">
        <f t="shared" si="5"/>
        <v>0</v>
      </c>
      <c r="P46" s="154">
        <f>IF(G46=0,E46*F46*'FE Consumos'!$H$67,G46*'FE Consumos'!$H$67)</f>
        <v>0</v>
      </c>
    </row>
    <row r="47" spans="2:16" ht="14.4" x14ac:dyDescent="0.3">
      <c r="B47" s="87" t="s">
        <v>107</v>
      </c>
      <c r="C47" s="86"/>
      <c r="D47" s="73"/>
      <c r="E47" s="23"/>
      <c r="F47" s="23"/>
      <c r="G47" s="23"/>
      <c r="H47" s="68">
        <f t="shared" si="5"/>
        <v>0</v>
      </c>
      <c r="P47" s="154">
        <f>IF(G47=0,E47*F47*'FE Consumos'!$H$67,G47*'FE Consumos'!$H$67)</f>
        <v>0</v>
      </c>
    </row>
    <row r="48" spans="2:16" ht="14.4" x14ac:dyDescent="0.3">
      <c r="B48" s="86" t="s">
        <v>108</v>
      </c>
      <c r="C48" s="86"/>
      <c r="D48" s="73"/>
      <c r="E48" s="23"/>
      <c r="F48" s="23"/>
      <c r="G48" s="23"/>
      <c r="H48" s="68">
        <f t="shared" si="5"/>
        <v>0</v>
      </c>
      <c r="P48" s="154">
        <f>IF(G48=0,E48*F48*'FE Consumos'!$H$67,G48*'FE Consumos'!$H$67)</f>
        <v>0</v>
      </c>
    </row>
    <row r="49" spans="2:17" ht="14.4" x14ac:dyDescent="0.3">
      <c r="B49" s="87" t="s">
        <v>109</v>
      </c>
      <c r="C49" s="86"/>
      <c r="D49" s="73"/>
      <c r="E49" s="23"/>
      <c r="F49" s="23"/>
      <c r="G49" s="23"/>
      <c r="H49" s="68">
        <f t="shared" si="5"/>
        <v>0</v>
      </c>
      <c r="P49" s="154">
        <f>IF(G49=0,E49*F49*'FE Consumos'!$H$67,G49*'FE Consumos'!$H$67)</f>
        <v>0</v>
      </c>
    </row>
    <row r="50" spans="2:17" ht="14.4" x14ac:dyDescent="0.3">
      <c r="B50" s="86" t="s">
        <v>110</v>
      </c>
      <c r="C50" s="86"/>
      <c r="D50" s="73"/>
      <c r="E50" s="23"/>
      <c r="F50" s="23"/>
      <c r="G50" s="23"/>
      <c r="H50" s="68">
        <f t="shared" si="5"/>
        <v>0</v>
      </c>
      <c r="P50" s="154">
        <f>IF(G50=0,E50*F50*'FE Consumos'!$H$67,G50*'FE Consumos'!$H$67)</f>
        <v>0</v>
      </c>
    </row>
    <row r="51" spans="2:17" ht="14.4" x14ac:dyDescent="0.3">
      <c r="B51" s="87" t="s">
        <v>111</v>
      </c>
      <c r="C51" s="86"/>
      <c r="D51" s="73"/>
      <c r="E51" s="23"/>
      <c r="F51" s="23"/>
      <c r="G51" s="23"/>
      <c r="H51" s="68">
        <f t="shared" si="5"/>
        <v>0</v>
      </c>
      <c r="P51" s="154">
        <f>IF(G51=0,E51*F51*'FE Consumos'!$H$67,G51*'FE Consumos'!$H$67)</f>
        <v>0</v>
      </c>
    </row>
    <row r="52" spans="2:17" ht="14.4" x14ac:dyDescent="0.3">
      <c r="B52" s="86" t="s">
        <v>112</v>
      </c>
      <c r="C52" s="86"/>
      <c r="D52" s="73"/>
      <c r="E52" s="23"/>
      <c r="F52" s="23"/>
      <c r="G52" s="23"/>
      <c r="H52" s="68">
        <f t="shared" si="5"/>
        <v>0</v>
      </c>
      <c r="P52" s="154">
        <f>IF(G52=0,E52*F52*'FE Consumos'!$H$67,G52*'FE Consumos'!$H$67)</f>
        <v>0</v>
      </c>
    </row>
    <row r="53" spans="2:17" ht="28.5" customHeight="1" x14ac:dyDescent="0.3">
      <c r="B53" s="87" t="s">
        <v>113</v>
      </c>
      <c r="C53" s="86"/>
      <c r="D53" s="73"/>
      <c r="E53" s="23"/>
      <c r="F53" s="23"/>
      <c r="G53" s="23"/>
      <c r="H53" s="68">
        <f t="shared" si="5"/>
        <v>0</v>
      </c>
      <c r="I53" s="20"/>
      <c r="J53" s="20"/>
      <c r="P53" s="154">
        <f>IF(G53=0,E53*F53*'FE Consumos'!$H$67,G53*'FE Consumos'!$H$67)</f>
        <v>0</v>
      </c>
    </row>
    <row r="54" spans="2:17" ht="36" customHeight="1" x14ac:dyDescent="0.3">
      <c r="B54" s="86" t="s">
        <v>114</v>
      </c>
      <c r="C54" s="86"/>
      <c r="D54" s="73"/>
      <c r="E54" s="23"/>
      <c r="F54" s="23"/>
      <c r="G54" s="23"/>
      <c r="H54" s="68">
        <f t="shared" si="5"/>
        <v>0</v>
      </c>
      <c r="I54" s="27"/>
      <c r="J54" s="27"/>
      <c r="K54" s="27"/>
      <c r="L54" s="27"/>
      <c r="P54" s="154">
        <f>IF(G54=0,E54*F54*'FE Consumos'!$H$67,G54*'FE Consumos'!$H$67)</f>
        <v>0</v>
      </c>
    </row>
    <row r="55" spans="2:17" ht="36.75" customHeight="1" x14ac:dyDescent="0.3"/>
    <row r="56" spans="2:17" ht="57.6" customHeight="1" x14ac:dyDescent="0.3">
      <c r="G56" s="84" t="s">
        <v>77</v>
      </c>
      <c r="H56" s="85">
        <f>SUM(H41:H54)</f>
        <v>136.05000000000001</v>
      </c>
    </row>
    <row r="57" spans="2:17" ht="43.95" customHeight="1" x14ac:dyDescent="0.3"/>
    <row r="58" spans="2:17" ht="38.25" customHeight="1" x14ac:dyDescent="0.3">
      <c r="M58" s="12"/>
      <c r="N58" s="146"/>
    </row>
    <row r="59" spans="2:17" ht="22.5" customHeight="1" x14ac:dyDescent="0.3">
      <c r="O59" s="155"/>
    </row>
    <row r="60" spans="2:17" ht="22.5" customHeight="1" x14ac:dyDescent="0.3">
      <c r="B60" s="10"/>
      <c r="O60" s="155"/>
    </row>
    <row r="61" spans="2:17" ht="22.5" customHeight="1" x14ac:dyDescent="0.3">
      <c r="O61" s="155"/>
      <c r="Q61" s="150"/>
    </row>
    <row r="62" spans="2:17" ht="22.5" customHeight="1" x14ac:dyDescent="0.3">
      <c r="O62" s="155"/>
      <c r="Q62" s="150"/>
    </row>
    <row r="63" spans="2:17" ht="22.5" customHeight="1" x14ac:dyDescent="0.3">
      <c r="B63" s="215" t="s">
        <v>22</v>
      </c>
      <c r="C63" s="215"/>
      <c r="D63" s="215"/>
      <c r="E63" s="215"/>
      <c r="F63" s="215"/>
      <c r="G63" s="20"/>
      <c r="O63" s="155"/>
      <c r="Q63" s="150"/>
    </row>
    <row r="64" spans="2:17" ht="24" customHeight="1" x14ac:dyDescent="0.3">
      <c r="B64" s="216" t="s">
        <v>115</v>
      </c>
      <c r="C64" s="216"/>
      <c r="D64" s="216"/>
      <c r="E64" s="216"/>
      <c r="F64" s="216"/>
      <c r="G64" s="27"/>
      <c r="O64" s="155"/>
      <c r="Q64" s="150"/>
    </row>
    <row r="65" spans="2:16" ht="14.4" x14ac:dyDescent="0.3">
      <c r="B65" s="28" t="s">
        <v>116</v>
      </c>
    </row>
    <row r="66" spans="2:16" ht="39.75" customHeight="1" x14ac:dyDescent="0.3"/>
    <row r="67" spans="2:16" ht="21" customHeight="1" x14ac:dyDescent="0.3">
      <c r="B67" s="67" t="s">
        <v>117</v>
      </c>
      <c r="C67" s="67" t="s">
        <v>118</v>
      </c>
      <c r="D67" s="67" t="s">
        <v>119</v>
      </c>
      <c r="E67" s="67" t="s">
        <v>120</v>
      </c>
      <c r="H67" s="3"/>
      <c r="I67" s="3"/>
      <c r="J67" s="3"/>
      <c r="K67" s="3"/>
      <c r="L67" s="3"/>
      <c r="M67" s="3"/>
      <c r="N67" s="156"/>
      <c r="P67" s="147" t="s">
        <v>121</v>
      </c>
    </row>
    <row r="68" spans="2:16" ht="14.4" x14ac:dyDescent="0.3">
      <c r="B68" s="21">
        <v>3500</v>
      </c>
      <c r="C68" s="22" t="s">
        <v>122</v>
      </c>
      <c r="D68" s="21" t="s">
        <v>123</v>
      </c>
      <c r="E68" s="21">
        <f t="shared" ref="E68:E74" si="6">IFERROR(B68*P68,"NA")</f>
        <v>829.5</v>
      </c>
      <c r="H68" s="3"/>
      <c r="I68" s="3"/>
      <c r="J68" s="3"/>
      <c r="K68" s="3"/>
      <c r="L68" s="3"/>
      <c r="M68" s="3"/>
      <c r="N68" s="156"/>
      <c r="P68" s="148">
        <f>IFERROR(VLOOKUP(D68,'FE Consumos'!$B$6:$D$206,2,FALSE),"NA")</f>
        <v>0.23699999999999999</v>
      </c>
    </row>
    <row r="69" spans="2:16" ht="51" customHeight="1" x14ac:dyDescent="0.3">
      <c r="B69" s="21">
        <v>3500</v>
      </c>
      <c r="C69" s="22" t="s">
        <v>88</v>
      </c>
      <c r="D69" s="21"/>
      <c r="E69" s="21" t="str">
        <f t="shared" si="6"/>
        <v>NA</v>
      </c>
      <c r="P69" s="148" t="str">
        <f>IFERROR(VLOOKUP(D69,'FE Consumos'!$B$6:$D$206,2,FALSE),"NA")</f>
        <v>NA</v>
      </c>
    </row>
    <row r="70" spans="2:16" ht="14.4" x14ac:dyDescent="0.3">
      <c r="B70" s="21">
        <v>3500</v>
      </c>
      <c r="C70" s="22" t="s">
        <v>124</v>
      </c>
      <c r="D70" s="21"/>
      <c r="E70" s="21" t="str">
        <f t="shared" si="6"/>
        <v>NA</v>
      </c>
      <c r="P70" s="148" t="str">
        <f>IFERROR(VLOOKUP(D70,'FE Consumos'!$B$6:$D$206,2,FALSE),"NA")</f>
        <v>NA</v>
      </c>
    </row>
    <row r="71" spans="2:16" ht="14.4" x14ac:dyDescent="0.3">
      <c r="B71" s="21">
        <v>3500</v>
      </c>
      <c r="C71" s="22" t="s">
        <v>125</v>
      </c>
      <c r="D71" s="21"/>
      <c r="E71" s="21" t="str">
        <f t="shared" si="6"/>
        <v>NA</v>
      </c>
      <c r="P71" s="148" t="str">
        <f>IFERROR(VLOOKUP(D71,'FE Consumos'!$B$6:$D$206,2,FALSE),"NA")</f>
        <v>NA</v>
      </c>
    </row>
    <row r="72" spans="2:16" ht="14.4" x14ac:dyDescent="0.3">
      <c r="B72" s="21">
        <v>3500</v>
      </c>
      <c r="C72" s="22" t="s">
        <v>126</v>
      </c>
      <c r="D72" s="21"/>
      <c r="E72" s="21" t="str">
        <f t="shared" si="6"/>
        <v>NA</v>
      </c>
      <c r="P72" s="148" t="str">
        <f>IFERROR(VLOOKUP(D72,'FE Consumos'!$B$6:$D$206,2,FALSE),"NA")</f>
        <v>NA</v>
      </c>
    </row>
    <row r="73" spans="2:16" ht="15" customHeight="1" x14ac:dyDescent="0.3">
      <c r="B73" s="21">
        <v>3500</v>
      </c>
      <c r="C73" s="22" t="s">
        <v>127</v>
      </c>
      <c r="D73" s="21"/>
      <c r="E73" s="21" t="str">
        <f t="shared" si="6"/>
        <v>NA</v>
      </c>
      <c r="P73" s="148" t="str">
        <f>IFERROR(VLOOKUP(D73,'FE Consumos'!$B$6:$D$206,2,FALSE),"NA")</f>
        <v>NA</v>
      </c>
    </row>
    <row r="74" spans="2:16" ht="15" customHeight="1" x14ac:dyDescent="0.3">
      <c r="B74" s="21">
        <v>3500</v>
      </c>
      <c r="C74" s="22" t="s">
        <v>128</v>
      </c>
      <c r="D74" s="21"/>
      <c r="E74" s="21" t="str">
        <f t="shared" si="6"/>
        <v>NA</v>
      </c>
      <c r="P74" s="148" t="str">
        <f>IFERROR(VLOOKUP(D74,'FE Consumos'!$B$6:$D$206,2,FALSE),"NA")</f>
        <v>NA</v>
      </c>
    </row>
    <row r="75" spans="2:16" ht="15" customHeight="1" x14ac:dyDescent="0.3">
      <c r="C75" s="16"/>
    </row>
    <row r="76" spans="2:16" ht="33" customHeight="1" x14ac:dyDescent="0.3">
      <c r="D76" s="84" t="s">
        <v>77</v>
      </c>
      <c r="E76" s="22">
        <f>SUM(E68:E69)</f>
        <v>829.5</v>
      </c>
    </row>
    <row r="77" spans="2:16" ht="15" customHeight="1" x14ac:dyDescent="0.3">
      <c r="E77" s="15"/>
      <c r="F77" s="17"/>
      <c r="G77" s="3"/>
    </row>
    <row r="78" spans="2:16" ht="15" customHeight="1" x14ac:dyDescent="0.3">
      <c r="B78" s="15"/>
      <c r="E78" s="15"/>
      <c r="F78" s="17"/>
      <c r="G78" s="3"/>
    </row>
    <row r="81" spans="2:5" ht="30.6" customHeight="1" x14ac:dyDescent="0.3">
      <c r="B81" s="215" t="s">
        <v>51</v>
      </c>
      <c r="C81" s="215"/>
      <c r="D81" s="215"/>
      <c r="E81" s="215"/>
    </row>
    <row r="82" spans="2:5" ht="15" customHeight="1" x14ac:dyDescent="0.3">
      <c r="B82" s="27" t="s">
        <v>129</v>
      </c>
    </row>
    <row r="83" spans="2:5" ht="15" customHeight="1" x14ac:dyDescent="0.3">
      <c r="B83" s="28" t="s">
        <v>130</v>
      </c>
    </row>
    <row r="84" spans="2:5" ht="15" customHeight="1" x14ac:dyDescent="0.3">
      <c r="B84" s="28"/>
    </row>
    <row r="85" spans="2:5" ht="15" customHeight="1" x14ac:dyDescent="0.3">
      <c r="B85" s="28"/>
    </row>
    <row r="87" spans="2:5" ht="44.4" customHeight="1" x14ac:dyDescent="0.3">
      <c r="B87" s="67" t="s">
        <v>131</v>
      </c>
      <c r="C87" s="67" t="s">
        <v>132</v>
      </c>
      <c r="D87" s="67" t="s">
        <v>133</v>
      </c>
    </row>
    <row r="88" spans="2:5" ht="15" customHeight="1" x14ac:dyDescent="0.3">
      <c r="B88" s="26">
        <v>900</v>
      </c>
      <c r="C88" s="26" t="s">
        <v>122</v>
      </c>
      <c r="D88" s="26">
        <f>IFERROR(B88*'FE Consumos'!$I$75,"NA")</f>
        <v>159.29999999999998</v>
      </c>
    </row>
    <row r="89" spans="2:5" ht="15" customHeight="1" x14ac:dyDescent="0.3">
      <c r="B89" s="26"/>
      <c r="C89" s="26" t="s">
        <v>134</v>
      </c>
      <c r="D89" s="26">
        <f>IFERROR(B89*'FE Consumos'!$I$75,"NA")</f>
        <v>0</v>
      </c>
    </row>
    <row r="90" spans="2:5" ht="15" customHeight="1" x14ac:dyDescent="0.3">
      <c r="B90" s="26"/>
      <c r="C90" s="26"/>
      <c r="D90" s="26">
        <f>IFERROR(B90*'FE Consumos'!$I$75,"NA")</f>
        <v>0</v>
      </c>
    </row>
    <row r="91" spans="2:5" ht="15" customHeight="1" x14ac:dyDescent="0.3">
      <c r="B91" s="26"/>
      <c r="C91" s="26"/>
      <c r="D91" s="26">
        <f>IFERROR(B91*'FE Consumos'!$I$75,"NA")</f>
        <v>0</v>
      </c>
    </row>
    <row r="92" spans="2:5" ht="15" customHeight="1" x14ac:dyDescent="0.3">
      <c r="B92" s="26"/>
      <c r="C92" s="26"/>
      <c r="D92" s="26">
        <f>IFERROR(B92*'FE Consumos'!$I$75,"NA")</f>
        <v>0</v>
      </c>
    </row>
    <row r="94" spans="2:5" ht="27.6" customHeight="1" x14ac:dyDescent="0.3">
      <c r="B94" s="67" t="s">
        <v>135</v>
      </c>
      <c r="C94" s="67" t="s">
        <v>136</v>
      </c>
      <c r="D94" s="67" t="s">
        <v>133</v>
      </c>
    </row>
    <row r="95" spans="2:5" ht="15" customHeight="1" x14ac:dyDescent="0.3">
      <c r="B95" s="26">
        <v>900</v>
      </c>
      <c r="C95" s="26"/>
      <c r="D95" s="26">
        <f>IFERROR(B95*'FE Consumos'!$I$76,"NA")</f>
        <v>180.9</v>
      </c>
    </row>
    <row r="96" spans="2:5" ht="15" customHeight="1" x14ac:dyDescent="0.3">
      <c r="B96" s="26"/>
      <c r="C96" s="26"/>
      <c r="D96" s="26">
        <f>IFERROR(B96*'FE Consumos'!$I$76,"NA")</f>
        <v>0</v>
      </c>
    </row>
    <row r="97" spans="2:4" ht="15" customHeight="1" x14ac:dyDescent="0.3">
      <c r="B97" s="26"/>
      <c r="C97" s="26"/>
      <c r="D97" s="26">
        <f>IFERROR(B97*'FE Consumos'!$I$76,"NA")</f>
        <v>0</v>
      </c>
    </row>
    <row r="98" spans="2:4" ht="15" customHeight="1" x14ac:dyDescent="0.3">
      <c r="B98" s="26"/>
      <c r="C98" s="26"/>
      <c r="D98" s="26">
        <f>IFERROR(B98*'FE Consumos'!$I$76,"NA")</f>
        <v>0</v>
      </c>
    </row>
    <row r="99" spans="2:4" ht="15" customHeight="1" x14ac:dyDescent="0.3">
      <c r="B99" s="26"/>
      <c r="C99" s="26"/>
      <c r="D99" s="26">
        <f>IFERROR(B99*'FE Consumos'!$I$76,"NA")</f>
        <v>0</v>
      </c>
    </row>
    <row r="101" spans="2:4" ht="42.6" customHeight="1" x14ac:dyDescent="0.3">
      <c r="C101" s="84" t="s">
        <v>77</v>
      </c>
      <c r="D101" s="70">
        <f>SUM(D88:D99)</f>
        <v>340.2</v>
      </c>
    </row>
  </sheetData>
  <sheetProtection algorithmName="SHA-512" hashValue="OvPFtKptQwpM+d4Rpy92FIi5QNfB/uCmzYJETspUSLODI21UsZtPsbe0Gj93yZp4sXaWauhk2Ibo9tc9L7myFw==" saltValue="xdz6NfjKqxfN5vHRlRlUMw==" spinCount="100000" sheet="1" objects="1" scenarios="1"/>
  <protectedRanges>
    <protectedRange sqref="B9:D15" name="Rango1"/>
    <protectedRange sqref="B26:D31" name="Rango2"/>
    <protectedRange sqref="B41:G54" name="Rango3"/>
    <protectedRange sqref="B68:D74" name="Rango4"/>
    <protectedRange sqref="B88:C88 B95:C95" name="Rango5"/>
  </protectedRanges>
  <mergeCells count="13">
    <mergeCell ref="I2:J2"/>
    <mergeCell ref="G2:H2"/>
    <mergeCell ref="B4:E4"/>
    <mergeCell ref="B36:H36"/>
    <mergeCell ref="B81:E81"/>
    <mergeCell ref="B64:F64"/>
    <mergeCell ref="B63:F63"/>
    <mergeCell ref="B5:F5"/>
    <mergeCell ref="B22:K22"/>
    <mergeCell ref="B37:K37"/>
    <mergeCell ref="B23:K23"/>
    <mergeCell ref="B38:K38"/>
    <mergeCell ref="B21:E21"/>
  </mergeCells>
  <phoneticPr fontId="54"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25ABAF0-2111-473B-BD04-386211643203}">
          <x14:formula1>
            <xm:f>'FE Consumos'!$G$67:$G$70</xm:f>
          </x14:formula1>
          <xm:sqref>C59 E58</xm:sqref>
        </x14:dataValidation>
        <x14:dataValidation type="list" allowBlank="1" showInputMessage="1" showErrorMessage="1" xr:uid="{ECB72FA7-402E-47AD-8EE8-2EE863D35660}">
          <x14:formula1>
            <xm:f>'FE Consumos'!$G$15:$G$59</xm:f>
          </x14:formula1>
          <xm:sqref>B26:B31</xm:sqref>
        </x14:dataValidation>
        <x14:dataValidation type="list" allowBlank="1" showInputMessage="1" showErrorMessage="1" xr:uid="{34562E16-737A-45E3-8E3A-C9DD77F1827C}">
          <x14:formula1>
            <xm:f>'FE Consumos'!$B$6:$B$185</xm:f>
          </x14:formula1>
          <xm:sqref>B78</xm:sqref>
        </x14:dataValidation>
        <x14:dataValidation type="list" allowBlank="1" showInputMessage="1" showErrorMessage="1" xr:uid="{901E5EC5-B8AD-401A-B128-F5D11A77D9CE}">
          <x14:formula1>
            <xm:f>'FE Consumos'!$B$6:$B$206</xm:f>
          </x14:formula1>
          <xm:sqref>D68:D74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52109-2499-496D-BC30-EEF729118090}">
  <dimension ref="A2:AS72"/>
  <sheetViews>
    <sheetView workbookViewId="0">
      <selection activeCell="AC50" sqref="AC50"/>
    </sheetView>
  </sheetViews>
  <sheetFormatPr baseColWidth="10" defaultColWidth="9.109375" defaultRowHeight="15" customHeight="1" x14ac:dyDescent="0.3"/>
  <cols>
    <col min="1" max="1" width="9.44140625" style="1" customWidth="1"/>
    <col min="2" max="2" width="10.44140625" style="5" customWidth="1"/>
    <col min="3" max="3" width="35.88671875" style="1" customWidth="1"/>
    <col min="4" max="5" width="22.5546875" style="1" customWidth="1"/>
    <col min="6" max="6" width="25.109375" style="1" customWidth="1"/>
    <col min="7" max="7" width="28.5546875" style="1" customWidth="1"/>
    <col min="8" max="8" width="30.6640625" style="1" customWidth="1"/>
    <col min="9" max="9" width="30.5546875" style="1" customWidth="1"/>
    <col min="10" max="11" width="28" style="1" customWidth="1"/>
    <col min="12" max="12" width="17.88671875" style="1" customWidth="1"/>
    <col min="13" max="13" width="21.33203125" style="1" customWidth="1"/>
    <col min="14" max="14" width="18.6640625" style="144" hidden="1" customWidth="1"/>
    <col min="15" max="15" width="22.88671875" style="144" hidden="1" customWidth="1"/>
    <col min="16" max="16" width="21.44140625" style="144" hidden="1" customWidth="1"/>
    <col min="17" max="17" width="23.33203125" style="144" hidden="1" customWidth="1"/>
    <col min="18" max="18" width="17.88671875" style="144" hidden="1" customWidth="1"/>
    <col min="19" max="19" width="30.5546875" style="144" hidden="1" customWidth="1"/>
    <col min="20" max="23" width="24.88671875" style="144" hidden="1" customWidth="1"/>
    <col min="24" max="24" width="24.88671875" style="144" customWidth="1"/>
    <col min="25" max="49" width="24.88671875" style="1" customWidth="1"/>
    <col min="50" max="50" width="14.109375" style="1" customWidth="1"/>
    <col min="51" max="16384" width="9.109375" style="1"/>
  </cols>
  <sheetData>
    <row r="2" spans="1:18" ht="30" customHeight="1" x14ac:dyDescent="0.3">
      <c r="A2" s="6"/>
      <c r="B2" s="10" t="s">
        <v>137</v>
      </c>
      <c r="H2" s="9" t="s">
        <v>138</v>
      </c>
      <c r="I2" s="213" t="s">
        <v>139</v>
      </c>
      <c r="J2" s="213"/>
    </row>
    <row r="3" spans="1:18" ht="30" customHeight="1" x14ac:dyDescent="0.3">
      <c r="A3" s="6"/>
      <c r="B3" s="10"/>
      <c r="H3" s="9"/>
      <c r="I3" s="89"/>
      <c r="J3" s="89"/>
    </row>
    <row r="5" spans="1:18" ht="28.95" customHeight="1" x14ac:dyDescent="0.3">
      <c r="B5" s="215" t="s">
        <v>140</v>
      </c>
      <c r="C5" s="215"/>
      <c r="D5" s="215"/>
      <c r="E5" s="215"/>
      <c r="F5" s="215"/>
      <c r="G5" s="215"/>
      <c r="H5" s="215"/>
      <c r="J5" s="90"/>
      <c r="K5" s="90"/>
      <c r="L5" s="90"/>
    </row>
    <row r="6" spans="1:18" ht="14.4" x14ac:dyDescent="0.3">
      <c r="B6" s="218" t="s">
        <v>141</v>
      </c>
      <c r="C6" s="218"/>
      <c r="D6" s="218"/>
      <c r="E6" s="218"/>
      <c r="F6" s="218"/>
      <c r="G6" s="218"/>
      <c r="H6" s="218"/>
      <c r="I6" s="218"/>
      <c r="J6" s="218"/>
      <c r="K6" s="218"/>
    </row>
    <row r="7" spans="1:18" ht="14.4" x14ac:dyDescent="0.3">
      <c r="B7" s="28" t="s">
        <v>142</v>
      </c>
    </row>
    <row r="8" spans="1:18" ht="18" customHeight="1" x14ac:dyDescent="0.3">
      <c r="B8" s="7"/>
      <c r="P8" s="222" t="s">
        <v>143</v>
      </c>
      <c r="Q8" s="222"/>
      <c r="R8" s="222"/>
    </row>
    <row r="9" spans="1:18" ht="33.75" customHeight="1" x14ac:dyDescent="0.3">
      <c r="B9" s="97" t="s">
        <v>144</v>
      </c>
      <c r="C9" s="98" t="s">
        <v>145</v>
      </c>
      <c r="D9" s="98" t="s">
        <v>146</v>
      </c>
      <c r="E9" s="119" t="s">
        <v>147</v>
      </c>
      <c r="F9" s="98" t="s">
        <v>148</v>
      </c>
      <c r="G9" s="98" t="s">
        <v>149</v>
      </c>
      <c r="H9" s="98" t="s">
        <v>150</v>
      </c>
      <c r="P9" s="158" t="s">
        <v>151</v>
      </c>
      <c r="Q9" s="159" t="s">
        <v>152</v>
      </c>
      <c r="R9" s="159" t="s">
        <v>153</v>
      </c>
    </row>
    <row r="10" spans="1:18" ht="15" customHeight="1" x14ac:dyDescent="0.3">
      <c r="B10" s="91">
        <v>1</v>
      </c>
      <c r="C10" s="92"/>
      <c r="D10" s="93"/>
      <c r="E10" s="94" t="s">
        <v>154</v>
      </c>
      <c r="F10" s="95" t="s">
        <v>155</v>
      </c>
      <c r="G10" s="93">
        <v>50</v>
      </c>
      <c r="H10" s="94"/>
      <c r="P10" s="160" t="str">
        <f>CONCATENATE(E10,F10)</f>
        <v>FurgonetaGasolina  (l)</v>
      </c>
      <c r="Q10" s="161">
        <f>IFERROR(VLOOKUP(P10,'FE Movilidad'!$E$6:$G$66,2,FALSE)," ")</f>
        <v>2.246</v>
      </c>
      <c r="R10" s="161">
        <f t="shared" ref="R10:R12" si="0">IFERROR(IF(G10&gt;0,G10*Q10,H10*Q10)," ")</f>
        <v>112.3</v>
      </c>
    </row>
    <row r="11" spans="1:18" ht="15" customHeight="1" x14ac:dyDescent="0.3">
      <c r="B11" s="91">
        <v>2</v>
      </c>
      <c r="C11" s="92"/>
      <c r="D11" s="96"/>
      <c r="E11" s="94"/>
      <c r="F11" s="95"/>
      <c r="G11" s="93"/>
      <c r="H11" s="94">
        <v>50</v>
      </c>
      <c r="P11" s="160" t="str">
        <f t="shared" ref="P11:P34" si="1">CONCATENATE(E11,F11)</f>
        <v/>
      </c>
      <c r="Q11" s="161" t="str">
        <f>IFERROR(VLOOKUP(P11,'FE Movilidad'!$E$6:$G$66,2,FALSE)," ")</f>
        <v xml:space="preserve"> </v>
      </c>
      <c r="R11" s="161" t="str">
        <f t="shared" si="0"/>
        <v xml:space="preserve"> </v>
      </c>
    </row>
    <row r="12" spans="1:18" ht="15" customHeight="1" x14ac:dyDescent="0.3">
      <c r="B12" s="91">
        <v>3</v>
      </c>
      <c r="C12" s="92"/>
      <c r="D12" s="96"/>
      <c r="E12" s="94"/>
      <c r="F12" s="95"/>
      <c r="G12" s="93"/>
      <c r="H12" s="94"/>
      <c r="P12" s="160" t="str">
        <f t="shared" si="1"/>
        <v/>
      </c>
      <c r="Q12" s="161" t="str">
        <f>IFERROR(VLOOKUP(P12,'FE Movilidad'!$E$6:$G$66,2,FALSE)," ")</f>
        <v xml:space="preserve"> </v>
      </c>
      <c r="R12" s="161" t="str">
        <f t="shared" si="0"/>
        <v xml:space="preserve"> </v>
      </c>
    </row>
    <row r="13" spans="1:18" ht="15" customHeight="1" x14ac:dyDescent="0.3">
      <c r="B13" s="91">
        <v>4</v>
      </c>
      <c r="C13" s="92"/>
      <c r="D13" s="96"/>
      <c r="E13" s="94"/>
      <c r="F13" s="95"/>
      <c r="G13" s="93"/>
      <c r="H13" s="94"/>
      <c r="P13" s="160" t="str">
        <f t="shared" si="1"/>
        <v/>
      </c>
      <c r="Q13" s="161" t="str">
        <f>IFERROR(VLOOKUP(P13,'FE Movilidad'!$E$6:$G$66,2,FALSE)," ")</f>
        <v xml:space="preserve"> </v>
      </c>
      <c r="R13" s="161" t="str">
        <f t="shared" ref="R13:R34" si="2">IFERROR(IF(G13&gt;0,G13*Q13,H13*Q13)," ")</f>
        <v xml:space="preserve"> </v>
      </c>
    </row>
    <row r="14" spans="1:18" ht="15" customHeight="1" x14ac:dyDescent="0.3">
      <c r="B14" s="91">
        <v>5</v>
      </c>
      <c r="C14" s="92"/>
      <c r="D14" s="96"/>
      <c r="E14" s="94"/>
      <c r="F14" s="95"/>
      <c r="G14" s="93"/>
      <c r="H14" s="94"/>
      <c r="P14" s="160" t="str">
        <f t="shared" si="1"/>
        <v/>
      </c>
      <c r="Q14" s="161" t="str">
        <f>IFERROR(VLOOKUP(P14,'FE Movilidad'!$E$6:$G$66,2,FALSE)," ")</f>
        <v xml:space="preserve"> </v>
      </c>
      <c r="R14" s="161" t="str">
        <f t="shared" si="2"/>
        <v xml:space="preserve"> </v>
      </c>
    </row>
    <row r="15" spans="1:18" ht="15" customHeight="1" x14ac:dyDescent="0.3">
      <c r="B15" s="91">
        <v>6</v>
      </c>
      <c r="C15" s="92"/>
      <c r="D15" s="96"/>
      <c r="E15" s="94"/>
      <c r="F15" s="95"/>
      <c r="G15" s="93"/>
      <c r="H15" s="94"/>
      <c r="P15" s="160" t="str">
        <f t="shared" si="1"/>
        <v/>
      </c>
      <c r="Q15" s="161" t="str">
        <f>IFERROR(VLOOKUP(P15,'FE Movilidad'!$E$6:$G$66,2,FALSE)," ")</f>
        <v xml:space="preserve"> </v>
      </c>
      <c r="R15" s="161" t="str">
        <f t="shared" si="2"/>
        <v xml:space="preserve"> </v>
      </c>
    </row>
    <row r="16" spans="1:18" ht="15" customHeight="1" x14ac:dyDescent="0.3">
      <c r="B16" s="91">
        <v>7</v>
      </c>
      <c r="C16" s="92"/>
      <c r="D16" s="96"/>
      <c r="E16" s="94"/>
      <c r="F16" s="95"/>
      <c r="G16" s="93"/>
      <c r="H16" s="94"/>
      <c r="P16" s="160" t="str">
        <f t="shared" si="1"/>
        <v/>
      </c>
      <c r="Q16" s="161" t="str">
        <f>IFERROR(VLOOKUP(P16,'FE Movilidad'!$E$6:$G$66,2,FALSE)," ")</f>
        <v xml:space="preserve"> </v>
      </c>
      <c r="R16" s="161" t="str">
        <f t="shared" si="2"/>
        <v xml:space="preserve"> </v>
      </c>
    </row>
    <row r="17" spans="2:18" ht="15" customHeight="1" x14ac:dyDescent="0.3">
      <c r="B17" s="91">
        <v>8</v>
      </c>
      <c r="C17" s="92"/>
      <c r="D17" s="96"/>
      <c r="E17" s="94"/>
      <c r="F17" s="95"/>
      <c r="G17" s="93"/>
      <c r="H17" s="94"/>
      <c r="P17" s="160" t="str">
        <f t="shared" si="1"/>
        <v/>
      </c>
      <c r="Q17" s="161" t="str">
        <f>IFERROR(VLOOKUP(P17,'FE Movilidad'!$E$6:$G$66,2,FALSE)," ")</f>
        <v xml:space="preserve"> </v>
      </c>
      <c r="R17" s="161" t="str">
        <f t="shared" si="2"/>
        <v xml:space="preserve"> </v>
      </c>
    </row>
    <row r="18" spans="2:18" ht="15" customHeight="1" x14ac:dyDescent="0.3">
      <c r="B18" s="91">
        <v>9</v>
      </c>
      <c r="C18" s="92"/>
      <c r="D18" s="96"/>
      <c r="E18" s="94"/>
      <c r="F18" s="95"/>
      <c r="G18" s="93"/>
      <c r="H18" s="94"/>
      <c r="P18" s="160" t="str">
        <f t="shared" si="1"/>
        <v/>
      </c>
      <c r="Q18" s="161" t="str">
        <f>IFERROR(VLOOKUP(P18,'FE Movilidad'!$E$6:$G$66,2,FALSE)," ")</f>
        <v xml:space="preserve"> </v>
      </c>
      <c r="R18" s="161" t="str">
        <f t="shared" si="2"/>
        <v xml:space="preserve"> </v>
      </c>
    </row>
    <row r="19" spans="2:18" ht="15" customHeight="1" x14ac:dyDescent="0.3">
      <c r="B19" s="91">
        <v>10</v>
      </c>
      <c r="C19" s="92"/>
      <c r="D19" s="96"/>
      <c r="E19" s="94"/>
      <c r="F19" s="95"/>
      <c r="G19" s="93"/>
      <c r="H19" s="94"/>
      <c r="P19" s="160" t="str">
        <f t="shared" si="1"/>
        <v/>
      </c>
      <c r="Q19" s="161" t="str">
        <f>IFERROR(VLOOKUP(P19,'FE Movilidad'!$E$6:$G$66,2,FALSE)," ")</f>
        <v xml:space="preserve"> </v>
      </c>
      <c r="R19" s="161" t="str">
        <f t="shared" si="2"/>
        <v xml:space="preserve"> </v>
      </c>
    </row>
    <row r="20" spans="2:18" ht="15" customHeight="1" x14ac:dyDescent="0.3">
      <c r="B20" s="91">
        <v>11</v>
      </c>
      <c r="C20" s="92"/>
      <c r="D20" s="96"/>
      <c r="E20" s="94"/>
      <c r="F20" s="95"/>
      <c r="G20" s="93"/>
      <c r="H20" s="94"/>
      <c r="P20" s="160" t="str">
        <f t="shared" si="1"/>
        <v/>
      </c>
      <c r="Q20" s="161" t="str">
        <f>IFERROR(VLOOKUP(P20,'FE Movilidad'!$E$6:$G$66,2,FALSE)," ")</f>
        <v xml:space="preserve"> </v>
      </c>
      <c r="R20" s="161" t="str">
        <f t="shared" si="2"/>
        <v xml:space="preserve"> </v>
      </c>
    </row>
    <row r="21" spans="2:18" ht="15" customHeight="1" x14ac:dyDescent="0.3">
      <c r="B21" s="91">
        <v>12</v>
      </c>
      <c r="C21" s="92"/>
      <c r="D21" s="96"/>
      <c r="E21" s="94"/>
      <c r="F21" s="95"/>
      <c r="G21" s="93"/>
      <c r="H21" s="94"/>
      <c r="P21" s="160" t="str">
        <f t="shared" si="1"/>
        <v/>
      </c>
      <c r="Q21" s="161" t="str">
        <f>IFERROR(VLOOKUP(P21,'FE Movilidad'!$E$6:$G$66,2,FALSE)," ")</f>
        <v xml:space="preserve"> </v>
      </c>
      <c r="R21" s="161" t="str">
        <f t="shared" si="2"/>
        <v xml:space="preserve"> </v>
      </c>
    </row>
    <row r="22" spans="2:18" ht="15" customHeight="1" x14ac:dyDescent="0.3">
      <c r="B22" s="91">
        <v>13</v>
      </c>
      <c r="C22" s="92"/>
      <c r="D22" s="96"/>
      <c r="E22" s="94"/>
      <c r="F22" s="95"/>
      <c r="G22" s="93"/>
      <c r="H22" s="94"/>
      <c r="P22" s="160" t="str">
        <f t="shared" si="1"/>
        <v/>
      </c>
      <c r="Q22" s="161" t="str">
        <f>IFERROR(VLOOKUP(P22,'FE Movilidad'!$E$6:$G$66,2,FALSE)," ")</f>
        <v xml:space="preserve"> </v>
      </c>
      <c r="R22" s="161" t="str">
        <f t="shared" si="2"/>
        <v xml:space="preserve"> </v>
      </c>
    </row>
    <row r="23" spans="2:18" ht="15" customHeight="1" x14ac:dyDescent="0.3">
      <c r="B23" s="91">
        <v>14</v>
      </c>
      <c r="C23" s="92"/>
      <c r="D23" s="96"/>
      <c r="E23" s="94"/>
      <c r="F23" s="95"/>
      <c r="G23" s="93"/>
      <c r="H23" s="94"/>
      <c r="P23" s="160" t="str">
        <f t="shared" si="1"/>
        <v/>
      </c>
      <c r="Q23" s="161" t="str">
        <f>IFERROR(VLOOKUP(P23,'FE Movilidad'!$E$6:$G$66,2,FALSE)," ")</f>
        <v xml:space="preserve"> </v>
      </c>
      <c r="R23" s="161" t="str">
        <f t="shared" si="2"/>
        <v xml:space="preserve"> </v>
      </c>
    </row>
    <row r="24" spans="2:18" ht="15" customHeight="1" x14ac:dyDescent="0.3">
      <c r="B24" s="91">
        <v>15</v>
      </c>
      <c r="C24" s="92"/>
      <c r="D24" s="96"/>
      <c r="E24" s="94"/>
      <c r="F24" s="95"/>
      <c r="G24" s="93"/>
      <c r="H24" s="94"/>
      <c r="P24" s="160" t="str">
        <f t="shared" si="1"/>
        <v/>
      </c>
      <c r="Q24" s="161" t="str">
        <f>IFERROR(VLOOKUP(P24,'FE Movilidad'!$E$6:$G$66,2,FALSE)," ")</f>
        <v xml:space="preserve"> </v>
      </c>
      <c r="R24" s="161" t="str">
        <f t="shared" si="2"/>
        <v xml:space="preserve"> </v>
      </c>
    </row>
    <row r="25" spans="2:18" ht="15" customHeight="1" x14ac:dyDescent="0.3">
      <c r="B25" s="91">
        <v>16</v>
      </c>
      <c r="C25" s="92"/>
      <c r="D25" s="96"/>
      <c r="E25" s="94"/>
      <c r="F25" s="95"/>
      <c r="G25" s="93"/>
      <c r="H25" s="94"/>
      <c r="P25" s="160" t="str">
        <f t="shared" si="1"/>
        <v/>
      </c>
      <c r="Q25" s="161" t="str">
        <f>IFERROR(VLOOKUP(P25,'FE Movilidad'!$E$6:$G$66,2,FALSE)," ")</f>
        <v xml:space="preserve"> </v>
      </c>
      <c r="R25" s="161" t="str">
        <f t="shared" si="2"/>
        <v xml:space="preserve"> </v>
      </c>
    </row>
    <row r="26" spans="2:18" ht="15" customHeight="1" x14ac:dyDescent="0.3">
      <c r="B26" s="91">
        <v>17</v>
      </c>
      <c r="C26" s="92"/>
      <c r="D26" s="96"/>
      <c r="E26" s="94"/>
      <c r="F26" s="95"/>
      <c r="G26" s="93"/>
      <c r="H26" s="94"/>
      <c r="P26" s="160" t="str">
        <f t="shared" si="1"/>
        <v/>
      </c>
      <c r="Q26" s="161" t="str">
        <f>IFERROR(VLOOKUP(P26,'FE Movilidad'!$E$6:$G$66,2,FALSE)," ")</f>
        <v xml:space="preserve"> </v>
      </c>
      <c r="R26" s="161" t="str">
        <f t="shared" si="2"/>
        <v xml:space="preserve"> </v>
      </c>
    </row>
    <row r="27" spans="2:18" ht="15" customHeight="1" x14ac:dyDescent="0.3">
      <c r="B27" s="91">
        <v>18</v>
      </c>
      <c r="C27" s="92"/>
      <c r="D27" s="96"/>
      <c r="E27" s="94"/>
      <c r="F27" s="95"/>
      <c r="G27" s="93"/>
      <c r="H27" s="94"/>
      <c r="P27" s="160" t="str">
        <f t="shared" si="1"/>
        <v/>
      </c>
      <c r="Q27" s="161" t="str">
        <f>IFERROR(VLOOKUP(P27,'FE Movilidad'!$E$6:$G$66,2,FALSE)," ")</f>
        <v xml:space="preserve"> </v>
      </c>
      <c r="R27" s="161" t="str">
        <f t="shared" si="2"/>
        <v xml:space="preserve"> </v>
      </c>
    </row>
    <row r="28" spans="2:18" ht="15" customHeight="1" x14ac:dyDescent="0.3">
      <c r="B28" s="91">
        <v>19</v>
      </c>
      <c r="C28" s="92"/>
      <c r="D28" s="96"/>
      <c r="E28" s="94"/>
      <c r="F28" s="95"/>
      <c r="G28" s="93"/>
      <c r="H28" s="94"/>
      <c r="P28" s="160" t="str">
        <f t="shared" si="1"/>
        <v/>
      </c>
      <c r="Q28" s="161" t="str">
        <f>IFERROR(VLOOKUP(P28,'FE Movilidad'!$E$6:$G$66,2,FALSE)," ")</f>
        <v xml:space="preserve"> </v>
      </c>
      <c r="R28" s="161" t="str">
        <f t="shared" si="2"/>
        <v xml:space="preserve"> </v>
      </c>
    </row>
    <row r="29" spans="2:18" ht="15" customHeight="1" x14ac:dyDescent="0.3">
      <c r="B29" s="91">
        <v>20</v>
      </c>
      <c r="C29" s="92"/>
      <c r="D29" s="96"/>
      <c r="E29" s="94"/>
      <c r="F29" s="95"/>
      <c r="G29" s="93"/>
      <c r="H29" s="94"/>
      <c r="P29" s="160" t="str">
        <f t="shared" si="1"/>
        <v/>
      </c>
      <c r="Q29" s="161" t="str">
        <f>IFERROR(VLOOKUP(P29,'FE Movilidad'!$E$6:$G$66,2,FALSE)," ")</f>
        <v xml:space="preserve"> </v>
      </c>
      <c r="R29" s="161" t="str">
        <f t="shared" si="2"/>
        <v xml:space="preserve"> </v>
      </c>
    </row>
    <row r="30" spans="2:18" ht="15" customHeight="1" x14ac:dyDescent="0.3">
      <c r="B30" s="91">
        <v>21</v>
      </c>
      <c r="C30" s="92"/>
      <c r="D30" s="96"/>
      <c r="E30" s="94"/>
      <c r="F30" s="95"/>
      <c r="G30" s="93"/>
      <c r="H30" s="94"/>
      <c r="P30" s="160" t="str">
        <f t="shared" si="1"/>
        <v/>
      </c>
      <c r="Q30" s="161" t="str">
        <f>IFERROR(VLOOKUP(P30,'FE Movilidad'!$E$6:$G$66,2,FALSE)," ")</f>
        <v xml:space="preserve"> </v>
      </c>
      <c r="R30" s="161" t="str">
        <f t="shared" si="2"/>
        <v xml:space="preserve"> </v>
      </c>
    </row>
    <row r="31" spans="2:18" ht="15" customHeight="1" x14ac:dyDescent="0.3">
      <c r="B31" s="91">
        <v>22</v>
      </c>
      <c r="C31" s="92"/>
      <c r="D31" s="96"/>
      <c r="E31" s="94"/>
      <c r="F31" s="95"/>
      <c r="G31" s="93"/>
      <c r="H31" s="94"/>
      <c r="P31" s="160" t="str">
        <f t="shared" si="1"/>
        <v/>
      </c>
      <c r="Q31" s="161" t="str">
        <f>IFERROR(VLOOKUP(P31,'FE Movilidad'!$E$6:$G$66,2,FALSE)," ")</f>
        <v xml:space="preserve"> </v>
      </c>
      <c r="R31" s="161" t="str">
        <f t="shared" si="2"/>
        <v xml:space="preserve"> </v>
      </c>
    </row>
    <row r="32" spans="2:18" ht="15" customHeight="1" x14ac:dyDescent="0.3">
      <c r="B32" s="91">
        <v>23</v>
      </c>
      <c r="C32" s="92"/>
      <c r="D32" s="96"/>
      <c r="E32" s="94"/>
      <c r="F32" s="95"/>
      <c r="G32" s="93"/>
      <c r="H32" s="94"/>
      <c r="P32" s="160" t="str">
        <f t="shared" si="1"/>
        <v/>
      </c>
      <c r="Q32" s="161" t="str">
        <f>IFERROR(VLOOKUP(P32,'FE Movilidad'!$E$6:$G$66,2,FALSE)," ")</f>
        <v xml:space="preserve"> </v>
      </c>
      <c r="R32" s="161" t="str">
        <f t="shared" si="2"/>
        <v xml:space="preserve"> </v>
      </c>
    </row>
    <row r="33" spans="2:45" ht="15" customHeight="1" x14ac:dyDescent="0.3">
      <c r="B33" s="91">
        <v>24</v>
      </c>
      <c r="C33" s="92"/>
      <c r="D33" s="96"/>
      <c r="E33" s="94"/>
      <c r="F33" s="95"/>
      <c r="G33" s="93"/>
      <c r="H33" s="94"/>
      <c r="P33" s="160" t="str">
        <f t="shared" si="1"/>
        <v/>
      </c>
      <c r="Q33" s="161" t="str">
        <f>IFERROR(VLOOKUP(P33,'FE Movilidad'!$E$6:$G$66,2,FALSE)," ")</f>
        <v xml:space="preserve"> </v>
      </c>
      <c r="R33" s="161" t="str">
        <f t="shared" si="2"/>
        <v xml:space="preserve"> </v>
      </c>
    </row>
    <row r="34" spans="2:45" ht="15" customHeight="1" x14ac:dyDescent="0.3">
      <c r="B34" s="91">
        <v>25</v>
      </c>
      <c r="C34" s="92"/>
      <c r="D34" s="96"/>
      <c r="E34" s="94"/>
      <c r="F34" s="95"/>
      <c r="G34" s="93"/>
      <c r="H34" s="94"/>
      <c r="P34" s="160" t="str">
        <f t="shared" si="1"/>
        <v/>
      </c>
      <c r="Q34" s="161" t="str">
        <f>IFERROR(VLOOKUP(P34,'FE Movilidad'!$E$6:$G$66,2,FALSE)," ")</f>
        <v xml:space="preserve"> </v>
      </c>
      <c r="R34" s="161" t="str">
        <f t="shared" si="2"/>
        <v xml:space="preserve"> </v>
      </c>
    </row>
    <row r="35" spans="2:45" ht="15" customHeight="1" x14ac:dyDescent="0.3">
      <c r="P35" s="162"/>
      <c r="Q35" s="162"/>
      <c r="R35" s="162"/>
      <c r="S35" s="162"/>
      <c r="T35" s="162"/>
      <c r="U35" s="162"/>
      <c r="V35" s="162"/>
      <c r="W35" s="162"/>
      <c r="X35" s="162"/>
      <c r="Y35" s="11"/>
      <c r="Z35" s="11"/>
      <c r="AA35" s="11"/>
      <c r="AB35" s="11"/>
      <c r="AC35" s="11"/>
      <c r="AD35" s="11"/>
      <c r="AE35" s="11"/>
      <c r="AF35" s="11"/>
      <c r="AG35" s="11"/>
      <c r="AH35" s="11"/>
      <c r="AI35" s="11"/>
      <c r="AJ35" s="11"/>
      <c r="AK35" s="11"/>
      <c r="AL35" s="11"/>
      <c r="AM35" s="11"/>
      <c r="AN35" s="11"/>
    </row>
    <row r="36" spans="2:45" ht="39.6" customHeight="1" x14ac:dyDescent="0.3">
      <c r="G36" s="84" t="s">
        <v>77</v>
      </c>
      <c r="H36" s="70">
        <f>SUM(R10:R34)</f>
        <v>112.3</v>
      </c>
      <c r="P36" s="162"/>
      <c r="Q36" s="162"/>
      <c r="R36" s="162"/>
      <c r="S36" s="162"/>
      <c r="T36" s="162"/>
      <c r="U36" s="162"/>
      <c r="V36" s="162"/>
      <c r="W36" s="162"/>
      <c r="X36" s="162"/>
      <c r="Y36" s="11"/>
      <c r="Z36" s="11"/>
      <c r="AA36" s="11"/>
      <c r="AB36" s="11"/>
      <c r="AC36" s="11"/>
      <c r="AD36" s="11"/>
      <c r="AE36" s="11"/>
      <c r="AF36" s="11"/>
      <c r="AG36" s="11"/>
      <c r="AH36" s="11"/>
      <c r="AI36" s="11"/>
      <c r="AJ36" s="11"/>
      <c r="AK36" s="11"/>
      <c r="AL36" s="11"/>
      <c r="AM36" s="11"/>
      <c r="AN36" s="11"/>
    </row>
    <row r="37" spans="2:45" ht="15" customHeight="1" x14ac:dyDescent="0.3">
      <c r="P37" s="162"/>
      <c r="Q37" s="162"/>
      <c r="R37" s="162"/>
      <c r="S37" s="162"/>
      <c r="T37" s="162"/>
      <c r="U37" s="162"/>
      <c r="V37" s="162"/>
      <c r="W37" s="162"/>
      <c r="X37" s="162"/>
      <c r="Y37" s="11"/>
      <c r="Z37" s="11"/>
      <c r="AA37" s="11"/>
      <c r="AB37" s="11"/>
      <c r="AC37" s="11"/>
      <c r="AD37" s="11"/>
      <c r="AE37" s="11"/>
      <c r="AF37" s="11"/>
      <c r="AG37" s="11"/>
      <c r="AH37" s="11"/>
      <c r="AI37" s="11"/>
      <c r="AJ37" s="11"/>
      <c r="AK37" s="11"/>
      <c r="AL37" s="11"/>
      <c r="AM37" s="11"/>
      <c r="AN37" s="11"/>
    </row>
    <row r="38" spans="2:45" ht="15" customHeight="1" x14ac:dyDescent="0.3">
      <c r="S38" s="162"/>
      <c r="T38" s="162"/>
      <c r="U38" s="162"/>
      <c r="V38" s="162"/>
      <c r="W38" s="162"/>
      <c r="X38" s="162"/>
      <c r="Y38" s="11"/>
      <c r="Z38" s="11"/>
      <c r="AA38" s="11"/>
      <c r="AB38" s="11"/>
      <c r="AC38" s="11"/>
      <c r="AD38" s="11"/>
      <c r="AE38" s="11"/>
      <c r="AF38" s="11"/>
      <c r="AG38" s="11"/>
      <c r="AH38" s="11"/>
      <c r="AI38" s="11"/>
      <c r="AJ38" s="11"/>
      <c r="AK38" s="11"/>
      <c r="AL38" s="11"/>
      <c r="AM38" s="11"/>
      <c r="AN38" s="11"/>
      <c r="AO38" s="11"/>
      <c r="AP38" s="11"/>
      <c r="AQ38" s="11"/>
      <c r="AR38" s="11"/>
      <c r="AS38" s="11"/>
    </row>
    <row r="39" spans="2:45" ht="15" customHeight="1" x14ac:dyDescent="0.3">
      <c r="S39" s="162"/>
      <c r="T39" s="162"/>
      <c r="U39" s="162"/>
      <c r="V39" s="162"/>
      <c r="W39" s="162"/>
      <c r="X39" s="162"/>
      <c r="Y39" s="11"/>
      <c r="Z39" s="11"/>
      <c r="AA39" s="11"/>
      <c r="AB39" s="11"/>
      <c r="AC39" s="11"/>
      <c r="AD39" s="11"/>
      <c r="AE39" s="11"/>
      <c r="AF39" s="11"/>
      <c r="AG39" s="11"/>
      <c r="AH39" s="11"/>
      <c r="AI39" s="11"/>
      <c r="AJ39" s="11"/>
      <c r="AK39" s="11"/>
      <c r="AL39" s="11"/>
      <c r="AM39" s="11"/>
      <c r="AN39" s="11"/>
      <c r="AO39" s="11"/>
      <c r="AP39" s="11"/>
      <c r="AQ39" s="11"/>
      <c r="AR39" s="11"/>
      <c r="AS39" s="11"/>
    </row>
    <row r="40" spans="2:45" ht="15" customHeight="1" x14ac:dyDescent="0.3">
      <c r="C40" s="18"/>
      <c r="D40" s="18"/>
      <c r="G40" s="11"/>
      <c r="S40" s="162"/>
      <c r="T40" s="162"/>
      <c r="U40" s="162"/>
      <c r="V40" s="162"/>
      <c r="W40" s="162"/>
      <c r="X40" s="162"/>
      <c r="Y40" s="11"/>
      <c r="Z40" s="11"/>
      <c r="AA40" s="11"/>
      <c r="AB40" s="11"/>
      <c r="AC40" s="11"/>
      <c r="AD40" s="11"/>
      <c r="AE40" s="11"/>
      <c r="AF40" s="11"/>
      <c r="AG40" s="11"/>
      <c r="AH40" s="11"/>
      <c r="AI40" s="11"/>
      <c r="AJ40" s="11"/>
      <c r="AK40" s="11"/>
      <c r="AL40" s="11"/>
      <c r="AM40" s="11"/>
      <c r="AN40" s="11"/>
      <c r="AO40" s="11"/>
      <c r="AP40" s="11"/>
      <c r="AQ40" s="11"/>
      <c r="AR40" s="11"/>
      <c r="AS40" s="11"/>
    </row>
    <row r="41" spans="2:45" ht="29.25" customHeight="1" x14ac:dyDescent="0.3">
      <c r="B41" s="215" t="s">
        <v>156</v>
      </c>
      <c r="C41" s="215"/>
      <c r="D41" s="215"/>
      <c r="E41" s="215"/>
      <c r="F41" s="215"/>
      <c r="G41" s="215"/>
      <c r="H41" s="215"/>
      <c r="I41" s="215"/>
    </row>
    <row r="42" spans="2:45" ht="15" customHeight="1" x14ac:dyDescent="0.3">
      <c r="G42" s="11"/>
    </row>
    <row r="43" spans="2:45" ht="16.5" customHeight="1" x14ac:dyDescent="0.3">
      <c r="B43" s="223" t="s">
        <v>91</v>
      </c>
      <c r="C43" s="224" t="s">
        <v>157</v>
      </c>
      <c r="D43" s="225" t="s">
        <v>158</v>
      </c>
      <c r="E43" s="225"/>
      <c r="F43" s="225"/>
      <c r="G43" s="226"/>
      <c r="H43" s="101" t="s">
        <v>159</v>
      </c>
      <c r="I43" s="227" t="s">
        <v>160</v>
      </c>
      <c r="P43" s="228" t="s">
        <v>143</v>
      </c>
      <c r="Q43" s="228"/>
      <c r="R43" s="228"/>
      <c r="S43" s="228"/>
      <c r="T43" s="220" t="s">
        <v>161</v>
      </c>
      <c r="U43" s="221"/>
    </row>
    <row r="44" spans="2:45" s="36" customFormat="1" ht="27.75" customHeight="1" x14ac:dyDescent="0.3">
      <c r="B44" s="223"/>
      <c r="C44" s="224"/>
      <c r="D44" s="67" t="s">
        <v>147</v>
      </c>
      <c r="E44" s="67" t="s">
        <v>162</v>
      </c>
      <c r="F44" s="67" t="s">
        <v>163</v>
      </c>
      <c r="G44" s="100" t="s">
        <v>164</v>
      </c>
      <c r="H44" s="67" t="s">
        <v>165</v>
      </c>
      <c r="I44" s="223"/>
      <c r="J44" s="1"/>
      <c r="N44" s="163"/>
      <c r="O44" s="163"/>
      <c r="P44" s="158" t="s">
        <v>151</v>
      </c>
      <c r="Q44" s="159" t="s">
        <v>152</v>
      </c>
      <c r="R44" s="159" t="s">
        <v>153</v>
      </c>
      <c r="S44" s="164" t="s">
        <v>166</v>
      </c>
      <c r="T44" s="147" t="s">
        <v>167</v>
      </c>
      <c r="U44" s="147" t="s">
        <v>168</v>
      </c>
      <c r="V44" s="163"/>
      <c r="W44" s="163"/>
      <c r="X44" s="163"/>
    </row>
    <row r="45" spans="2:45" ht="15" customHeight="1" x14ac:dyDescent="0.3">
      <c r="B45" s="26">
        <v>1</v>
      </c>
      <c r="C45" s="49" t="s">
        <v>169</v>
      </c>
      <c r="D45" s="52" t="s">
        <v>170</v>
      </c>
      <c r="E45" s="50" t="s">
        <v>171</v>
      </c>
      <c r="F45" s="51" t="s">
        <v>155</v>
      </c>
      <c r="G45" s="54">
        <v>50</v>
      </c>
      <c r="H45" s="53" t="s">
        <v>172</v>
      </c>
      <c r="I45" s="58">
        <v>50</v>
      </c>
      <c r="P45" s="160" t="str">
        <f>CONCATENATE(D45,F45)</f>
        <v>CiclomotorGasolina  (l)</v>
      </c>
      <c r="Q45" s="161">
        <f>IFERROR(VLOOKUP(P45,'FE Movilidad'!$E$6:$G$66,2,FALSE)," ")</f>
        <v>2.2850000000000001</v>
      </c>
      <c r="R45" s="165">
        <f t="shared" ref="R45:R69" si="3">IFERROR(IF(G45&gt;0,G45*Q45,I45*Q45)," ")</f>
        <v>114.25</v>
      </c>
      <c r="S45" s="165">
        <f>IF(E45="Pasajero",R45*0,R45)</f>
        <v>114.25</v>
      </c>
      <c r="T45" s="153">
        <f>IFERROR(IF((H45="Autobús urbano"),('FE Movilidad'!$G$76/1000),(VLOOKUP(H45,'FE Movilidad'!$B$74:$D$80,2,FALSE)))," ")</f>
        <v>7.4749999999999997E-2</v>
      </c>
      <c r="U45" s="153">
        <f>IFERROR(IF(OR(H45="A pie",H45="Bicicleta"),0,T45*I45)," ")</f>
        <v>3.7374999999999998</v>
      </c>
    </row>
    <row r="46" spans="2:45" ht="15" customHeight="1" x14ac:dyDescent="0.3">
      <c r="B46" s="26">
        <v>2</v>
      </c>
      <c r="C46" s="49" t="s">
        <v>169</v>
      </c>
      <c r="D46" s="52" t="s">
        <v>170</v>
      </c>
      <c r="E46" s="50" t="s">
        <v>173</v>
      </c>
      <c r="F46" s="51" t="s">
        <v>155</v>
      </c>
      <c r="G46" s="55">
        <v>50</v>
      </c>
      <c r="H46" s="53" t="s">
        <v>174</v>
      </c>
      <c r="I46" s="57"/>
      <c r="P46" s="160" t="str">
        <f t="shared" ref="P46:P69" si="4">CONCATENATE(D46,F46)</f>
        <v>CiclomotorGasolina  (l)</v>
      </c>
      <c r="Q46" s="161">
        <f>IFERROR(VLOOKUP(P46,'FE Movilidad'!$E$6:$G$66,2,FALSE)," ")</f>
        <v>2.2850000000000001</v>
      </c>
      <c r="R46" s="165">
        <f t="shared" si="3"/>
        <v>114.25</v>
      </c>
      <c r="S46" s="165">
        <f t="shared" ref="S46:S69" si="5">IF(E46="Pasajero",R46*0,R46)</f>
        <v>0</v>
      </c>
      <c r="T46" s="153" t="str">
        <f>IFERROR(IF((H46="Autobús urbano"),('FE Movilidad'!$G$76/1000),(VLOOKUP(H46,'FE Movilidad'!$B$74:$D$80,2,FALSE)))," ")</f>
        <v xml:space="preserve"> </v>
      </c>
      <c r="U46" s="153">
        <f t="shared" ref="U46:U69" si="6">IFERROR(IF(OR(H46="A pie",H46="Bicicleta"),0,T46*I46)," ")</f>
        <v>0</v>
      </c>
    </row>
    <row r="47" spans="2:45" ht="15" customHeight="1" x14ac:dyDescent="0.3">
      <c r="B47" s="26">
        <v>3</v>
      </c>
      <c r="C47" s="49"/>
      <c r="D47" s="52" t="s">
        <v>175</v>
      </c>
      <c r="E47" s="50" t="s">
        <v>171</v>
      </c>
      <c r="F47" s="51"/>
      <c r="G47" s="55"/>
      <c r="H47" s="53"/>
      <c r="I47" s="57">
        <v>50</v>
      </c>
      <c r="P47" s="160" t="str">
        <f t="shared" si="4"/>
        <v>Híbrido</v>
      </c>
      <c r="Q47" s="161">
        <f>IFERROR(VLOOKUP(P47,'FE Movilidad'!$E$6:$G$66,2,FALSE)," ")</f>
        <v>8.5007334228187917E-2</v>
      </c>
      <c r="R47" s="165">
        <f>IFERROR(IF(G47&gt;0,G47*Q47,I47*Q47)," ")</f>
        <v>4.2503667114093959</v>
      </c>
      <c r="S47" s="165">
        <f t="shared" si="5"/>
        <v>4.2503667114093959</v>
      </c>
      <c r="T47" s="153" t="str">
        <f>IFERROR(IF((H47="Autobús urbano"),('FE Movilidad'!$G$76/1000),(VLOOKUP(H47,'FE Movilidad'!$B$74:$D$80,2,FALSE)))," ")</f>
        <v xml:space="preserve"> </v>
      </c>
      <c r="U47" s="153" t="str">
        <f t="shared" si="6"/>
        <v xml:space="preserve"> </v>
      </c>
    </row>
    <row r="48" spans="2:45" ht="15" customHeight="1" x14ac:dyDescent="0.3">
      <c r="B48" s="26">
        <v>4</v>
      </c>
      <c r="C48" s="49"/>
      <c r="D48" s="52" t="s">
        <v>176</v>
      </c>
      <c r="E48" s="50"/>
      <c r="F48" s="51" t="s">
        <v>177</v>
      </c>
      <c r="G48" s="55">
        <v>50</v>
      </c>
      <c r="H48" s="53" t="s">
        <v>172</v>
      </c>
      <c r="I48" s="57">
        <v>50</v>
      </c>
      <c r="P48" s="160" t="str">
        <f t="shared" si="4"/>
        <v>AutobúsGasóleo (l)</v>
      </c>
      <c r="Q48" s="161">
        <f>IFERROR(VLOOKUP(P48,'FE Movilidad'!$E$6:$G$66,2,FALSE)," ")</f>
        <v>2.528</v>
      </c>
      <c r="R48" s="165">
        <f t="shared" si="3"/>
        <v>126.4</v>
      </c>
      <c r="S48" s="165">
        <f t="shared" si="5"/>
        <v>126.4</v>
      </c>
      <c r="T48" s="153">
        <f>IFERROR(IF((H48="Autobús urbano"),('FE Movilidad'!$G$76/1000),(VLOOKUP(H48,'FE Movilidad'!$B$74:$D$80,2,FALSE)))," ")</f>
        <v>7.4749999999999997E-2</v>
      </c>
      <c r="U48" s="153">
        <f t="shared" si="6"/>
        <v>3.7374999999999998</v>
      </c>
    </row>
    <row r="49" spans="2:21" ht="15" customHeight="1" x14ac:dyDescent="0.3">
      <c r="B49" s="26">
        <v>5</v>
      </c>
      <c r="C49" s="49"/>
      <c r="D49" s="52"/>
      <c r="E49" s="50"/>
      <c r="F49" s="51"/>
      <c r="G49" s="55"/>
      <c r="H49" s="53" t="s">
        <v>178</v>
      </c>
      <c r="I49" s="57"/>
      <c r="P49" s="160" t="str">
        <f t="shared" si="4"/>
        <v/>
      </c>
      <c r="Q49" s="161" t="str">
        <f>IFERROR(VLOOKUP(P49,'FE Movilidad'!$E$6:$G$66,2,FALSE)," ")</f>
        <v xml:space="preserve"> </v>
      </c>
      <c r="R49" s="165" t="str">
        <f t="shared" si="3"/>
        <v xml:space="preserve"> </v>
      </c>
      <c r="S49" s="165" t="str">
        <f t="shared" si="5"/>
        <v xml:space="preserve"> </v>
      </c>
      <c r="T49" s="153">
        <f>IFERROR(IF((H49="Autobús urbano"),('FE Movilidad'!$G$76/1000),(VLOOKUP(H49,'FE Movilidad'!$B$74:$D$80,2,FALSE)))," ")</f>
        <v>2.8029999999999999E-2</v>
      </c>
      <c r="U49" s="153">
        <f t="shared" si="6"/>
        <v>0</v>
      </c>
    </row>
    <row r="50" spans="2:21" ht="15" customHeight="1" x14ac:dyDescent="0.3">
      <c r="B50" s="26">
        <v>6</v>
      </c>
      <c r="C50" s="49"/>
      <c r="D50" s="52"/>
      <c r="E50" s="50"/>
      <c r="F50" s="51"/>
      <c r="G50" s="55"/>
      <c r="H50" s="53"/>
      <c r="I50" s="57"/>
      <c r="P50" s="160" t="str">
        <f t="shared" si="4"/>
        <v/>
      </c>
      <c r="Q50" s="161" t="str">
        <f>IFERROR(VLOOKUP(P50,'FE Movilidad'!$E$6:$G$66,2,FALSE)," ")</f>
        <v xml:space="preserve"> </v>
      </c>
      <c r="R50" s="165" t="str">
        <f t="shared" si="3"/>
        <v xml:space="preserve"> </v>
      </c>
      <c r="S50" s="165" t="str">
        <f t="shared" si="5"/>
        <v xml:space="preserve"> </v>
      </c>
      <c r="T50" s="153" t="str">
        <f>IFERROR(IF((H50="Autobús urbano"),('FE Movilidad'!$G$76/1000),(VLOOKUP(H50,'FE Movilidad'!$B$74:$D$80,2,FALSE)))," ")</f>
        <v xml:space="preserve"> </v>
      </c>
      <c r="U50" s="153" t="str">
        <f t="shared" si="6"/>
        <v xml:space="preserve"> </v>
      </c>
    </row>
    <row r="51" spans="2:21" ht="15" customHeight="1" x14ac:dyDescent="0.3">
      <c r="B51" s="26">
        <v>7</v>
      </c>
      <c r="C51" s="49"/>
      <c r="D51" s="52"/>
      <c r="E51" s="50"/>
      <c r="F51" s="51"/>
      <c r="G51" s="55"/>
      <c r="H51" s="53"/>
      <c r="I51" s="57"/>
      <c r="P51" s="160" t="str">
        <f t="shared" si="4"/>
        <v/>
      </c>
      <c r="Q51" s="161" t="str">
        <f>IFERROR(VLOOKUP(P51,'FE Movilidad'!$E$6:$G$66,2,FALSE)," ")</f>
        <v xml:space="preserve"> </v>
      </c>
      <c r="R51" s="165" t="str">
        <f t="shared" si="3"/>
        <v xml:space="preserve"> </v>
      </c>
      <c r="S51" s="165" t="str">
        <f t="shared" si="5"/>
        <v xml:space="preserve"> </v>
      </c>
      <c r="T51" s="153" t="str">
        <f>IFERROR(IF((H51="Autobús urbano"),('FE Movilidad'!$G$76/1000),(VLOOKUP(H51,'FE Movilidad'!$B$74:$D$80,2,FALSE)))," ")</f>
        <v xml:space="preserve"> </v>
      </c>
      <c r="U51" s="153" t="str">
        <f t="shared" si="6"/>
        <v xml:space="preserve"> </v>
      </c>
    </row>
    <row r="52" spans="2:21" ht="15" customHeight="1" x14ac:dyDescent="0.3">
      <c r="B52" s="26">
        <v>8</v>
      </c>
      <c r="C52" s="49"/>
      <c r="D52" s="52"/>
      <c r="E52" s="50"/>
      <c r="F52" s="51"/>
      <c r="G52" s="55"/>
      <c r="H52" s="53"/>
      <c r="I52" s="57"/>
      <c r="P52" s="160" t="str">
        <f t="shared" si="4"/>
        <v/>
      </c>
      <c r="Q52" s="161" t="str">
        <f>IFERROR(VLOOKUP(P52,'FE Movilidad'!$E$6:$G$66,2,FALSE)," ")</f>
        <v xml:space="preserve"> </v>
      </c>
      <c r="R52" s="165" t="str">
        <f t="shared" si="3"/>
        <v xml:space="preserve"> </v>
      </c>
      <c r="S52" s="165" t="str">
        <f t="shared" si="5"/>
        <v xml:space="preserve"> </v>
      </c>
      <c r="T52" s="153" t="str">
        <f>IFERROR(IF((H52="Autobús urbano"),('FE Movilidad'!$G$76/1000),(VLOOKUP(H52,'FE Movilidad'!$B$74:$D$80,2,FALSE)))," ")</f>
        <v xml:space="preserve"> </v>
      </c>
      <c r="U52" s="153" t="str">
        <f t="shared" si="6"/>
        <v xml:space="preserve"> </v>
      </c>
    </row>
    <row r="53" spans="2:21" ht="15" customHeight="1" x14ac:dyDescent="0.3">
      <c r="B53" s="26">
        <v>9</v>
      </c>
      <c r="C53" s="49"/>
      <c r="D53" s="52"/>
      <c r="E53" s="50"/>
      <c r="F53" s="51"/>
      <c r="G53" s="55"/>
      <c r="H53" s="53"/>
      <c r="I53" s="57"/>
      <c r="P53" s="160" t="str">
        <f t="shared" si="4"/>
        <v/>
      </c>
      <c r="Q53" s="161" t="str">
        <f>IFERROR(VLOOKUP(P53,'FE Movilidad'!$E$6:$G$66,2,FALSE)," ")</f>
        <v xml:space="preserve"> </v>
      </c>
      <c r="R53" s="165" t="str">
        <f t="shared" si="3"/>
        <v xml:space="preserve"> </v>
      </c>
      <c r="S53" s="165" t="str">
        <f t="shared" si="5"/>
        <v xml:space="preserve"> </v>
      </c>
      <c r="T53" s="153" t="str">
        <f>IFERROR(IF((H53="Autobús urbano"),('FE Movilidad'!$G$76/1000),(VLOOKUP(H53,'FE Movilidad'!$B$74:$D$80,2,FALSE)))," ")</f>
        <v xml:space="preserve"> </v>
      </c>
      <c r="U53" s="153" t="str">
        <f t="shared" si="6"/>
        <v xml:space="preserve"> </v>
      </c>
    </row>
    <row r="54" spans="2:21" ht="15" customHeight="1" x14ac:dyDescent="0.3">
      <c r="B54" s="26">
        <v>10</v>
      </c>
      <c r="C54" s="49"/>
      <c r="D54" s="52"/>
      <c r="E54" s="50"/>
      <c r="F54" s="51"/>
      <c r="G54" s="55"/>
      <c r="H54" s="53"/>
      <c r="I54" s="57"/>
      <c r="P54" s="160" t="str">
        <f t="shared" si="4"/>
        <v/>
      </c>
      <c r="Q54" s="161" t="str">
        <f>IFERROR(VLOOKUP(P54,'FE Movilidad'!$E$6:$G$66,2,FALSE)," ")</f>
        <v xml:space="preserve"> </v>
      </c>
      <c r="R54" s="165" t="str">
        <f t="shared" si="3"/>
        <v xml:space="preserve"> </v>
      </c>
      <c r="S54" s="165" t="str">
        <f t="shared" si="5"/>
        <v xml:space="preserve"> </v>
      </c>
      <c r="T54" s="153" t="str">
        <f>IFERROR(IF((H54="Autobús urbano"),('FE Movilidad'!$G$76/1000),(VLOOKUP(H54,'FE Movilidad'!$B$74:$D$80,2,FALSE)))," ")</f>
        <v xml:space="preserve"> </v>
      </c>
      <c r="U54" s="153" t="str">
        <f t="shared" si="6"/>
        <v xml:space="preserve"> </v>
      </c>
    </row>
    <row r="55" spans="2:21" ht="15" customHeight="1" x14ac:dyDescent="0.3">
      <c r="B55" s="26">
        <v>11</v>
      </c>
      <c r="C55" s="49"/>
      <c r="D55" s="52"/>
      <c r="E55" s="50"/>
      <c r="F55" s="51"/>
      <c r="G55" s="55"/>
      <c r="H55" s="53"/>
      <c r="I55" s="57"/>
      <c r="P55" s="160" t="str">
        <f t="shared" si="4"/>
        <v/>
      </c>
      <c r="Q55" s="161" t="str">
        <f>IFERROR(VLOOKUP(P55,'FE Movilidad'!$E$6:$G$66,2,FALSE)," ")</f>
        <v xml:space="preserve"> </v>
      </c>
      <c r="R55" s="165" t="str">
        <f t="shared" si="3"/>
        <v xml:space="preserve"> </v>
      </c>
      <c r="S55" s="165" t="str">
        <f t="shared" si="5"/>
        <v xml:space="preserve"> </v>
      </c>
      <c r="T55" s="153" t="str">
        <f>IFERROR(IF((H55="Autobús urbano"),('FE Movilidad'!$G$76/1000),(VLOOKUP(H55,'FE Movilidad'!$B$74:$D$80,2,FALSE)))," ")</f>
        <v xml:space="preserve"> </v>
      </c>
      <c r="U55" s="153" t="str">
        <f t="shared" si="6"/>
        <v xml:space="preserve"> </v>
      </c>
    </row>
    <row r="56" spans="2:21" ht="15" customHeight="1" x14ac:dyDescent="0.3">
      <c r="B56" s="26">
        <v>12</v>
      </c>
      <c r="C56" s="49"/>
      <c r="D56" s="52"/>
      <c r="E56" s="50"/>
      <c r="F56" s="51"/>
      <c r="G56" s="55"/>
      <c r="H56" s="53"/>
      <c r="I56" s="57"/>
      <c r="P56" s="160" t="str">
        <f t="shared" si="4"/>
        <v/>
      </c>
      <c r="Q56" s="161" t="str">
        <f>IFERROR(VLOOKUP(P56,'FE Movilidad'!$E$6:$G$66,2,FALSE)," ")</f>
        <v xml:space="preserve"> </v>
      </c>
      <c r="R56" s="165" t="str">
        <f t="shared" si="3"/>
        <v xml:space="preserve"> </v>
      </c>
      <c r="S56" s="165" t="str">
        <f t="shared" si="5"/>
        <v xml:space="preserve"> </v>
      </c>
      <c r="T56" s="153" t="str">
        <f>IFERROR(IF((H56="Autobús urbano"),('FE Movilidad'!$G$76/1000),(VLOOKUP(H56,'FE Movilidad'!$B$74:$D$80,2,FALSE)))," ")</f>
        <v xml:space="preserve"> </v>
      </c>
      <c r="U56" s="153" t="str">
        <f t="shared" si="6"/>
        <v xml:space="preserve"> </v>
      </c>
    </row>
    <row r="57" spans="2:21" ht="15" customHeight="1" x14ac:dyDescent="0.3">
      <c r="B57" s="26">
        <v>13</v>
      </c>
      <c r="C57" s="49"/>
      <c r="D57" s="52"/>
      <c r="E57" s="50"/>
      <c r="F57" s="51"/>
      <c r="G57" s="55"/>
      <c r="H57" s="53"/>
      <c r="I57" s="57"/>
      <c r="P57" s="160" t="str">
        <f t="shared" si="4"/>
        <v/>
      </c>
      <c r="Q57" s="161" t="str">
        <f>IFERROR(VLOOKUP(P57,'FE Movilidad'!$E$6:$G$66,2,FALSE)," ")</f>
        <v xml:space="preserve"> </v>
      </c>
      <c r="R57" s="165" t="str">
        <f t="shared" si="3"/>
        <v xml:space="preserve"> </v>
      </c>
      <c r="S57" s="165" t="str">
        <f t="shared" si="5"/>
        <v xml:space="preserve"> </v>
      </c>
      <c r="T57" s="153" t="str">
        <f>IFERROR(IF((H57="Autobús urbano"),('FE Movilidad'!$G$76/1000),(VLOOKUP(H57,'FE Movilidad'!$B$74:$D$80,2,FALSE)))," ")</f>
        <v xml:space="preserve"> </v>
      </c>
      <c r="U57" s="153" t="str">
        <f t="shared" si="6"/>
        <v xml:space="preserve"> </v>
      </c>
    </row>
    <row r="58" spans="2:21" ht="15" customHeight="1" x14ac:dyDescent="0.3">
      <c r="B58" s="26">
        <v>14</v>
      </c>
      <c r="C58" s="49"/>
      <c r="D58" s="52"/>
      <c r="E58" s="50"/>
      <c r="F58" s="51"/>
      <c r="G58" s="55"/>
      <c r="H58" s="53"/>
      <c r="I58" s="57"/>
      <c r="P58" s="160" t="str">
        <f t="shared" si="4"/>
        <v/>
      </c>
      <c r="Q58" s="161" t="str">
        <f>IFERROR(VLOOKUP(P58,'FE Movilidad'!$E$6:$G$66,2,FALSE)," ")</f>
        <v xml:space="preserve"> </v>
      </c>
      <c r="R58" s="165" t="str">
        <f t="shared" si="3"/>
        <v xml:space="preserve"> </v>
      </c>
      <c r="S58" s="165" t="str">
        <f t="shared" si="5"/>
        <v xml:space="preserve"> </v>
      </c>
      <c r="T58" s="153" t="str">
        <f>IFERROR(IF((H58="Autobús urbano"),('FE Movilidad'!$G$76/1000),(VLOOKUP(H58,'FE Movilidad'!$B$74:$D$80,2,FALSE)))," ")</f>
        <v xml:space="preserve"> </v>
      </c>
      <c r="U58" s="153" t="str">
        <f t="shared" si="6"/>
        <v xml:space="preserve"> </v>
      </c>
    </row>
    <row r="59" spans="2:21" ht="15" customHeight="1" x14ac:dyDescent="0.3">
      <c r="B59" s="26">
        <v>15</v>
      </c>
      <c r="C59" s="49"/>
      <c r="D59" s="52"/>
      <c r="E59" s="50"/>
      <c r="F59" s="51"/>
      <c r="G59" s="55"/>
      <c r="H59" s="53"/>
      <c r="I59" s="57"/>
      <c r="P59" s="160" t="str">
        <f t="shared" si="4"/>
        <v/>
      </c>
      <c r="Q59" s="161" t="str">
        <f>IFERROR(VLOOKUP(P59,'FE Movilidad'!$E$6:$G$66,2,FALSE)," ")</f>
        <v xml:space="preserve"> </v>
      </c>
      <c r="R59" s="165" t="str">
        <f t="shared" si="3"/>
        <v xml:space="preserve"> </v>
      </c>
      <c r="S59" s="165" t="str">
        <f t="shared" si="5"/>
        <v xml:space="preserve"> </v>
      </c>
      <c r="T59" s="153" t="str">
        <f>IFERROR(IF((H59="Autobús urbano"),('FE Movilidad'!$G$76/1000),(VLOOKUP(H59,'FE Movilidad'!$B$74:$D$80,2,FALSE)))," ")</f>
        <v xml:space="preserve"> </v>
      </c>
      <c r="U59" s="153" t="str">
        <f t="shared" si="6"/>
        <v xml:space="preserve"> </v>
      </c>
    </row>
    <row r="60" spans="2:21" ht="15" customHeight="1" x14ac:dyDescent="0.3">
      <c r="B60" s="26">
        <v>16</v>
      </c>
      <c r="C60" s="49"/>
      <c r="D60" s="52"/>
      <c r="E60" s="50"/>
      <c r="F60" s="51"/>
      <c r="G60" s="55"/>
      <c r="H60" s="53"/>
      <c r="I60" s="57"/>
      <c r="P60" s="160" t="str">
        <f t="shared" si="4"/>
        <v/>
      </c>
      <c r="Q60" s="161" t="str">
        <f>IFERROR(VLOOKUP(P60,'FE Movilidad'!$E$6:$G$66,2,FALSE)," ")</f>
        <v xml:space="preserve"> </v>
      </c>
      <c r="R60" s="165" t="str">
        <f t="shared" si="3"/>
        <v xml:space="preserve"> </v>
      </c>
      <c r="S60" s="165" t="str">
        <f t="shared" si="5"/>
        <v xml:space="preserve"> </v>
      </c>
      <c r="T60" s="153" t="str">
        <f>IFERROR(IF((H60="Autobús urbano"),('FE Movilidad'!$G$76/1000),(VLOOKUP(H60,'FE Movilidad'!$B$74:$D$80,2,FALSE)))," ")</f>
        <v xml:space="preserve"> </v>
      </c>
      <c r="U60" s="153" t="str">
        <f t="shared" si="6"/>
        <v xml:space="preserve"> </v>
      </c>
    </row>
    <row r="61" spans="2:21" ht="15" customHeight="1" x14ac:dyDescent="0.3">
      <c r="B61" s="26">
        <v>17</v>
      </c>
      <c r="C61" s="49"/>
      <c r="D61" s="52"/>
      <c r="E61" s="50"/>
      <c r="F61" s="51"/>
      <c r="G61" s="55"/>
      <c r="H61" s="53"/>
      <c r="I61" s="57"/>
      <c r="P61" s="160" t="str">
        <f t="shared" si="4"/>
        <v/>
      </c>
      <c r="Q61" s="161" t="str">
        <f>IFERROR(VLOOKUP(P61,'FE Movilidad'!$E$6:$G$66,2,FALSE)," ")</f>
        <v xml:space="preserve"> </v>
      </c>
      <c r="R61" s="165" t="str">
        <f t="shared" si="3"/>
        <v xml:space="preserve"> </v>
      </c>
      <c r="S61" s="165" t="str">
        <f t="shared" si="5"/>
        <v xml:space="preserve"> </v>
      </c>
      <c r="T61" s="153" t="str">
        <f>IFERROR(IF((H61="Autobús urbano"),('FE Movilidad'!$G$76/1000),(VLOOKUP(H61,'FE Movilidad'!$B$74:$D$80,2,FALSE)))," ")</f>
        <v xml:space="preserve"> </v>
      </c>
      <c r="U61" s="153" t="str">
        <f t="shared" si="6"/>
        <v xml:space="preserve"> </v>
      </c>
    </row>
    <row r="62" spans="2:21" ht="15" customHeight="1" x14ac:dyDescent="0.3">
      <c r="B62" s="26">
        <v>18</v>
      </c>
      <c r="C62" s="49"/>
      <c r="D62" s="52"/>
      <c r="E62" s="50"/>
      <c r="F62" s="51"/>
      <c r="G62" s="55"/>
      <c r="H62" s="53"/>
      <c r="I62" s="57"/>
      <c r="P62" s="160" t="str">
        <f t="shared" si="4"/>
        <v/>
      </c>
      <c r="Q62" s="161" t="str">
        <f>IFERROR(VLOOKUP(P62,'FE Movilidad'!$E$6:$G$66,2,FALSE)," ")</f>
        <v xml:space="preserve"> </v>
      </c>
      <c r="R62" s="165" t="str">
        <f t="shared" si="3"/>
        <v xml:space="preserve"> </v>
      </c>
      <c r="S62" s="165" t="str">
        <f t="shared" si="5"/>
        <v xml:space="preserve"> </v>
      </c>
      <c r="T62" s="153" t="str">
        <f>IFERROR(IF((H62="Autobús urbano"),('FE Movilidad'!$G$76/1000),(VLOOKUP(H62,'FE Movilidad'!$B$74:$D$80,2,FALSE)))," ")</f>
        <v xml:space="preserve"> </v>
      </c>
      <c r="U62" s="153" t="str">
        <f t="shared" si="6"/>
        <v xml:space="preserve"> </v>
      </c>
    </row>
    <row r="63" spans="2:21" ht="15" customHeight="1" x14ac:dyDescent="0.3">
      <c r="B63" s="26">
        <v>19</v>
      </c>
      <c r="C63" s="49"/>
      <c r="D63" s="52"/>
      <c r="E63" s="50"/>
      <c r="F63" s="51"/>
      <c r="G63" s="55"/>
      <c r="H63" s="53"/>
      <c r="I63" s="57"/>
      <c r="P63" s="160" t="str">
        <f t="shared" si="4"/>
        <v/>
      </c>
      <c r="Q63" s="161" t="str">
        <f>IFERROR(VLOOKUP(P63,'FE Movilidad'!$E$6:$G$66,2,FALSE)," ")</f>
        <v xml:space="preserve"> </v>
      </c>
      <c r="R63" s="165" t="str">
        <f t="shared" si="3"/>
        <v xml:space="preserve"> </v>
      </c>
      <c r="S63" s="165" t="str">
        <f t="shared" si="5"/>
        <v xml:space="preserve"> </v>
      </c>
      <c r="T63" s="153" t="str">
        <f>IFERROR(IF((H63="Autobús urbano"),('FE Movilidad'!$G$76/1000),(VLOOKUP(H63,'FE Movilidad'!$B$74:$D$80,2,FALSE)))," ")</f>
        <v xml:space="preserve"> </v>
      </c>
      <c r="U63" s="153" t="str">
        <f t="shared" si="6"/>
        <v xml:space="preserve"> </v>
      </c>
    </row>
    <row r="64" spans="2:21" ht="15" customHeight="1" x14ac:dyDescent="0.3">
      <c r="B64" s="26">
        <v>20</v>
      </c>
      <c r="C64" s="49"/>
      <c r="D64" s="52"/>
      <c r="E64" s="50"/>
      <c r="F64" s="51"/>
      <c r="G64" s="55"/>
      <c r="H64" s="53"/>
      <c r="I64" s="57"/>
      <c r="P64" s="160" t="str">
        <f t="shared" si="4"/>
        <v/>
      </c>
      <c r="Q64" s="161" t="str">
        <f>IFERROR(VLOOKUP(P64,'FE Movilidad'!$E$6:$G$66,2,FALSE)," ")</f>
        <v xml:space="preserve"> </v>
      </c>
      <c r="R64" s="165" t="str">
        <f t="shared" si="3"/>
        <v xml:space="preserve"> </v>
      </c>
      <c r="S64" s="165" t="str">
        <f t="shared" si="5"/>
        <v xml:space="preserve"> </v>
      </c>
      <c r="T64" s="153" t="str">
        <f>IFERROR(IF((H64="Autobús urbano"),('FE Movilidad'!$G$76/1000),(VLOOKUP(H64,'FE Movilidad'!$B$74:$D$80,2,FALSE)))," ")</f>
        <v xml:space="preserve"> </v>
      </c>
      <c r="U64" s="153" t="str">
        <f t="shared" si="6"/>
        <v xml:space="preserve"> </v>
      </c>
    </row>
    <row r="65" spans="2:21" ht="15" customHeight="1" x14ac:dyDescent="0.3">
      <c r="B65" s="26">
        <v>21</v>
      </c>
      <c r="C65" s="49"/>
      <c r="D65" s="52"/>
      <c r="E65" s="50"/>
      <c r="F65" s="51"/>
      <c r="G65" s="55"/>
      <c r="H65" s="53"/>
      <c r="I65" s="57"/>
      <c r="P65" s="160" t="str">
        <f t="shared" si="4"/>
        <v/>
      </c>
      <c r="Q65" s="161" t="str">
        <f>IFERROR(VLOOKUP(P65,'FE Movilidad'!$E$6:$G$66,2,FALSE)," ")</f>
        <v xml:space="preserve"> </v>
      </c>
      <c r="R65" s="165" t="str">
        <f t="shared" si="3"/>
        <v xml:space="preserve"> </v>
      </c>
      <c r="S65" s="165" t="str">
        <f t="shared" si="5"/>
        <v xml:space="preserve"> </v>
      </c>
      <c r="T65" s="153" t="str">
        <f>IFERROR(IF((H65="Autobús urbano"),('FE Movilidad'!$G$76/1000),(VLOOKUP(H65,'FE Movilidad'!$B$74:$D$80,2,FALSE)))," ")</f>
        <v xml:space="preserve"> </v>
      </c>
      <c r="U65" s="153" t="str">
        <f t="shared" si="6"/>
        <v xml:space="preserve"> </v>
      </c>
    </row>
    <row r="66" spans="2:21" ht="15" customHeight="1" x14ac:dyDescent="0.3">
      <c r="B66" s="26">
        <v>22</v>
      </c>
      <c r="C66" s="49"/>
      <c r="D66" s="52"/>
      <c r="E66" s="50"/>
      <c r="F66" s="51"/>
      <c r="G66" s="55"/>
      <c r="H66" s="53"/>
      <c r="I66" s="57"/>
      <c r="P66" s="160" t="str">
        <f t="shared" si="4"/>
        <v/>
      </c>
      <c r="Q66" s="161" t="str">
        <f>IFERROR(VLOOKUP(P66,'FE Movilidad'!$E$6:$G$66,2,FALSE)," ")</f>
        <v xml:space="preserve"> </v>
      </c>
      <c r="R66" s="165" t="str">
        <f t="shared" si="3"/>
        <v xml:space="preserve"> </v>
      </c>
      <c r="S66" s="165" t="str">
        <f t="shared" si="5"/>
        <v xml:space="preserve"> </v>
      </c>
      <c r="T66" s="153" t="str">
        <f>IFERROR(IF((H66="Autobús urbano"),('FE Movilidad'!$G$76/1000),(VLOOKUP(H66,'FE Movilidad'!$B$74:$D$80,2,FALSE)))," ")</f>
        <v xml:space="preserve"> </v>
      </c>
      <c r="U66" s="153" t="str">
        <f t="shared" si="6"/>
        <v xml:space="preserve"> </v>
      </c>
    </row>
    <row r="67" spans="2:21" ht="15" customHeight="1" x14ac:dyDescent="0.3">
      <c r="B67" s="26">
        <v>23</v>
      </c>
      <c r="C67" s="49"/>
      <c r="D67" s="52"/>
      <c r="E67" s="50"/>
      <c r="F67" s="51"/>
      <c r="G67" s="55"/>
      <c r="H67" s="53"/>
      <c r="I67" s="57"/>
      <c r="P67" s="160" t="str">
        <f t="shared" si="4"/>
        <v/>
      </c>
      <c r="Q67" s="161" t="str">
        <f>IFERROR(VLOOKUP(P67,'FE Movilidad'!$E$6:$G$66,2,FALSE)," ")</f>
        <v xml:space="preserve"> </v>
      </c>
      <c r="R67" s="165" t="str">
        <f t="shared" si="3"/>
        <v xml:space="preserve"> </v>
      </c>
      <c r="S67" s="165" t="str">
        <f t="shared" si="5"/>
        <v xml:space="preserve"> </v>
      </c>
      <c r="T67" s="153" t="str">
        <f>IFERROR(IF((H67="Autobús urbano"),('FE Movilidad'!$G$76/1000),(VLOOKUP(H67,'FE Movilidad'!$B$74:$D$80,2,FALSE)))," ")</f>
        <v xml:space="preserve"> </v>
      </c>
      <c r="U67" s="153" t="str">
        <f t="shared" si="6"/>
        <v xml:space="preserve"> </v>
      </c>
    </row>
    <row r="68" spans="2:21" ht="15" customHeight="1" x14ac:dyDescent="0.3">
      <c r="B68" s="26">
        <v>24</v>
      </c>
      <c r="C68" s="49"/>
      <c r="D68" s="52"/>
      <c r="E68" s="50"/>
      <c r="F68" s="51"/>
      <c r="G68" s="56"/>
      <c r="H68" s="53"/>
      <c r="I68" s="57"/>
      <c r="P68" s="160" t="str">
        <f t="shared" si="4"/>
        <v/>
      </c>
      <c r="Q68" s="161" t="str">
        <f>IFERROR(VLOOKUP(P68,'FE Movilidad'!$E$6:$G$66,2,FALSE)," ")</f>
        <v xml:space="preserve"> </v>
      </c>
      <c r="R68" s="165" t="str">
        <f t="shared" si="3"/>
        <v xml:space="preserve"> </v>
      </c>
      <c r="S68" s="165" t="str">
        <f t="shared" si="5"/>
        <v xml:space="preserve"> </v>
      </c>
      <c r="T68" s="153" t="str">
        <f>IFERROR(IF((H68="Autobús urbano"),('FE Movilidad'!$G$76/1000),(VLOOKUP(H68,'FE Movilidad'!$B$74:$D$80,2,FALSE)))," ")</f>
        <v xml:space="preserve"> </v>
      </c>
      <c r="U68" s="153" t="str">
        <f t="shared" si="6"/>
        <v xml:space="preserve"> </v>
      </c>
    </row>
    <row r="69" spans="2:21" ht="15" customHeight="1" x14ac:dyDescent="0.3">
      <c r="B69" s="26">
        <v>25</v>
      </c>
      <c r="C69" s="49"/>
      <c r="D69" s="52"/>
      <c r="E69" s="50"/>
      <c r="F69" s="51"/>
      <c r="G69" s="55"/>
      <c r="H69" s="53"/>
      <c r="I69" s="57"/>
      <c r="P69" s="160" t="str">
        <f t="shared" si="4"/>
        <v/>
      </c>
      <c r="Q69" s="161" t="str">
        <f>IFERROR(VLOOKUP(P69,'FE Movilidad'!$E$6:$G$66,2,FALSE)," ")</f>
        <v xml:space="preserve"> </v>
      </c>
      <c r="R69" s="165" t="str">
        <f t="shared" si="3"/>
        <v xml:space="preserve"> </v>
      </c>
      <c r="S69" s="165" t="str">
        <f t="shared" si="5"/>
        <v xml:space="preserve"> </v>
      </c>
      <c r="T69" s="153" t="str">
        <f>IFERROR(IF((H69="Autobús urbano"),('FE Movilidad'!$G$76/1000),(VLOOKUP(H69,'FE Movilidad'!$B$74:$D$80,2,FALSE)))," ")</f>
        <v xml:space="preserve"> </v>
      </c>
      <c r="U69" s="153" t="str">
        <f t="shared" si="6"/>
        <v xml:space="preserve"> </v>
      </c>
    </row>
    <row r="70" spans="2:21" ht="14.4" customHeight="1" x14ac:dyDescent="0.3"/>
    <row r="71" spans="2:21" ht="14.4" x14ac:dyDescent="0.3"/>
    <row r="72" spans="2:21" ht="28.8" x14ac:dyDescent="0.3">
      <c r="H72" s="84" t="s">
        <v>77</v>
      </c>
      <c r="I72" s="70">
        <f>SUM(S45:S69,U45:U69)</f>
        <v>252.37536671140941</v>
      </c>
    </row>
  </sheetData>
  <sheetProtection algorithmName="SHA-512" hashValue="DiLuHvY2VZVXKl4eoyGVbiiyfE9o28RPvDW2RLyt/Qqaiu7sEk10PVAJO+UObKgP9kWZPLmcnGNvbdRTtrY8hw==" saltValue="WpS56+VkNXDTU7ooQqgiZA==" spinCount="100000" sheet="1" objects="1" scenarios="1"/>
  <protectedRanges>
    <protectedRange sqref="C10:H34" name="Rango2"/>
    <protectedRange sqref="C45:I69" name="Rango1"/>
  </protectedRanges>
  <mergeCells count="11">
    <mergeCell ref="I2:J2"/>
    <mergeCell ref="T43:U43"/>
    <mergeCell ref="B5:H5"/>
    <mergeCell ref="B41:I41"/>
    <mergeCell ref="P8:R8"/>
    <mergeCell ref="B6:K6"/>
    <mergeCell ref="B43:B44"/>
    <mergeCell ref="C43:C44"/>
    <mergeCell ref="D43:G43"/>
    <mergeCell ref="I43:I44"/>
    <mergeCell ref="P43:S43"/>
  </mergeCells>
  <conditionalFormatting sqref="D45:G69">
    <cfRule type="expression" dxfId="16" priority="3">
      <formula>$C45="Transport públic"</formula>
    </cfRule>
  </conditionalFormatting>
  <conditionalFormatting sqref="E10:H34">
    <cfRule type="expression" dxfId="15" priority="5">
      <formula>#REF!="Transport públic"</formula>
    </cfRule>
  </conditionalFormatting>
  <conditionalFormatting sqref="H45:H69">
    <cfRule type="expression" dxfId="14" priority="2">
      <formula>$C45="Vehicle propi o compartit"</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9">
        <x14:dataValidation type="list" allowBlank="1" showInputMessage="1" showErrorMessage="1" xr:uid="{17A495BA-F207-4410-AF4F-B7F31979FAA1}">
          <x14:formula1>
            <xm:f>'FE Movilidad'!$D$90:$D$93</xm:f>
          </x14:formula1>
          <xm:sqref>F42 F40</xm:sqref>
        </x14:dataValidation>
        <x14:dataValidation type="list" allowBlank="1" showInputMessage="1" showErrorMessage="1" xr:uid="{49C7F73E-B56E-4D31-AA2C-C6989F4CADE9}">
          <x14:formula1>
            <xm:f>'FE Movilidad'!$B$85:$B$86</xm:f>
          </x14:formula1>
          <xm:sqref>C42 C40 C45:C69</xm:sqref>
        </x14:dataValidation>
        <x14:dataValidation type="list" allowBlank="1" showInputMessage="1" showErrorMessage="1" xr:uid="{A65863CB-F67C-42DA-BDC6-3C50C0AB7ACC}">
          <x14:formula1>
            <xm:f>'FE Movilidad'!#REF!</xm:f>
          </x14:formula1>
          <xm:sqref>H40 H42</xm:sqref>
        </x14:dataValidation>
        <x14:dataValidation type="list" allowBlank="1" showInputMessage="1" showErrorMessage="1" xr:uid="{366E8766-5D73-4687-9C5D-21F514CD4B2E}">
          <x14:formula1>
            <xm:f>'FE Movilidad'!$F$101:$F$102</xm:f>
          </x14:formula1>
          <xm:sqref>E45:E69</xm:sqref>
        </x14:dataValidation>
        <x14:dataValidation type="list" allowBlank="1" showInputMessage="1" showErrorMessage="1" xr:uid="{3FCB13B2-C5E5-4E41-A6A1-D7B8B7C31923}">
          <x14:formula1>
            <xm:f>'FE Movilidad'!$B$7:$B$64</xm:f>
          </x14:formula1>
          <xm:sqref>F10:F34 F45:F69</xm:sqref>
        </x14:dataValidation>
        <x14:dataValidation type="list" allowBlank="1" showInputMessage="1" showErrorMessage="1" xr:uid="{4B3E587F-461D-4228-8123-4466F6C68D68}">
          <x14:formula1>
            <xm:f>'FE Movilidad'!$D$97:$D$103</xm:f>
          </x14:formula1>
          <xm:sqref>H45:H69</xm:sqref>
        </x14:dataValidation>
        <x14:dataValidation type="list" allowBlank="1" showInputMessage="1" showErrorMessage="1" xr:uid="{1589BB63-F07D-4066-9664-6FFF92786CEE}">
          <x14:formula1>
            <xm:f>'FE Movilidad'!$B$90:$B$95</xm:f>
          </x14:formula1>
          <xm:sqref>E10:E34</xm:sqref>
        </x14:dataValidation>
        <x14:dataValidation type="list" allowBlank="1" showInputMessage="1" showErrorMessage="1" xr:uid="{7B0A5576-1F9F-45F6-AE85-A414F17EC842}">
          <x14:formula1>
            <xm:f>'FE Movilidad'!$D$90:$D$96</xm:f>
          </x14:formula1>
          <xm:sqref>D45:D69</xm:sqref>
        </x14:dataValidation>
        <x14:dataValidation type="list" allowBlank="1" showInputMessage="1" showErrorMessage="1" xr:uid="{438DAEC5-3273-439D-BBCF-B77F96A26904}">
          <x14:formula1>
            <xm:f>'FE Movilidad'!$D$94:$D$103</xm:f>
          </x14:formula1>
          <xm:sqref>H70 J40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C67C9-5779-4DB3-A0BD-CAF251ED6CF4}">
  <dimension ref="A2:BC40"/>
  <sheetViews>
    <sheetView topLeftCell="C1" workbookViewId="0">
      <selection activeCell="C23" sqref="C23"/>
    </sheetView>
  </sheetViews>
  <sheetFormatPr baseColWidth="10" defaultColWidth="9.109375" defaultRowHeight="15" customHeight="1" x14ac:dyDescent="0.3"/>
  <cols>
    <col min="1" max="1" width="9.44140625" style="1" customWidth="1"/>
    <col min="2" max="2" width="10.44140625" style="5" customWidth="1"/>
    <col min="3" max="3" width="35.88671875" style="1" customWidth="1"/>
    <col min="4" max="5" width="22.5546875" style="1" customWidth="1"/>
    <col min="6" max="6" width="25.109375" style="1" customWidth="1"/>
    <col min="7" max="7" width="22.5546875" style="1" customWidth="1"/>
    <col min="8" max="8" width="29.88671875" style="1" customWidth="1"/>
    <col min="9" max="9" width="25.109375" style="1" customWidth="1"/>
    <col min="10" max="13" width="28" style="1" customWidth="1"/>
    <col min="14" max="14" width="28" style="144" customWidth="1"/>
    <col min="15" max="15" width="17.88671875" style="144" customWidth="1"/>
    <col min="16" max="16" width="21.33203125" style="144" customWidth="1"/>
    <col min="17" max="17" width="18.6640625" style="144" customWidth="1"/>
    <col min="18" max="18" width="22.88671875" style="144" hidden="1" customWidth="1"/>
    <col min="19" max="19" width="25.88671875" style="144" hidden="1" customWidth="1"/>
    <col min="20" max="20" width="14.6640625" style="144" hidden="1" customWidth="1"/>
    <col min="21" max="21" width="16.5546875" style="144" hidden="1" customWidth="1"/>
    <col min="22" max="22" width="19.33203125" style="144" hidden="1" customWidth="1"/>
    <col min="23" max="23" width="13.6640625" style="144" hidden="1" customWidth="1"/>
    <col min="24" max="24" width="16.33203125" style="144" hidden="1" customWidth="1"/>
    <col min="25" max="26" width="8.88671875" style="1" hidden="1" customWidth="1"/>
    <col min="27" max="28" width="8.88671875" style="1" customWidth="1"/>
    <col min="29" max="58" width="24.88671875" style="1" customWidth="1"/>
    <col min="59" max="59" width="14.109375" style="1" customWidth="1"/>
    <col min="60" max="16384" width="9.109375" style="1"/>
  </cols>
  <sheetData>
    <row r="2" spans="1:55" ht="25.8" x14ac:dyDescent="0.3">
      <c r="A2" s="6"/>
      <c r="B2" s="10" t="s">
        <v>179</v>
      </c>
      <c r="H2" s="9" t="s">
        <v>180</v>
      </c>
      <c r="I2" s="214" t="s">
        <v>181</v>
      </c>
      <c r="J2" s="214"/>
    </row>
    <row r="4" spans="1:55" ht="14.4" customHeight="1" x14ac:dyDescent="0.3"/>
    <row r="5" spans="1:55" ht="23.25" customHeight="1" x14ac:dyDescent="0.3">
      <c r="B5" s="215" t="s">
        <v>182</v>
      </c>
      <c r="C5" s="215"/>
      <c r="D5" s="215"/>
      <c r="E5" s="215"/>
      <c r="F5" s="215"/>
      <c r="G5" s="215"/>
      <c r="H5" s="215"/>
      <c r="I5" s="215"/>
      <c r="J5" s="215"/>
      <c r="BB5" s="12" t="s">
        <v>77</v>
      </c>
      <c r="BC5" s="3" t="e">
        <f>SUM(#REF!)</f>
        <v>#REF!</v>
      </c>
    </row>
    <row r="6" spans="1:55" ht="30" customHeight="1" x14ac:dyDescent="0.3">
      <c r="B6" s="234" t="s">
        <v>183</v>
      </c>
      <c r="C6" s="234"/>
      <c r="D6" s="234"/>
      <c r="E6" s="234"/>
      <c r="F6" s="234"/>
      <c r="G6" s="234"/>
      <c r="H6" s="234"/>
      <c r="I6" s="234"/>
      <c r="J6" s="234"/>
      <c r="BB6" s="12"/>
    </row>
    <row r="7" spans="1:55" ht="14.4" x14ac:dyDescent="0.3">
      <c r="B7" s="28" t="s">
        <v>184</v>
      </c>
    </row>
    <row r="8" spans="1:55" ht="14.4" x14ac:dyDescent="0.3">
      <c r="B8" s="28" t="s">
        <v>185</v>
      </c>
    </row>
    <row r="9" spans="1:55" ht="14.4" x14ac:dyDescent="0.3">
      <c r="B9" s="232"/>
      <c r="C9" s="232"/>
      <c r="D9" s="232"/>
      <c r="E9" s="232"/>
      <c r="F9" s="232"/>
      <c r="G9" s="232"/>
      <c r="H9" s="232"/>
      <c r="I9" s="232"/>
      <c r="J9" s="232"/>
    </row>
    <row r="10" spans="1:55" ht="14.4" x14ac:dyDescent="0.3">
      <c r="B10" s="8"/>
    </row>
    <row r="11" spans="1:55" ht="14.4" customHeight="1" x14ac:dyDescent="0.3">
      <c r="B11" s="227" t="s">
        <v>144</v>
      </c>
      <c r="C11" s="223" t="s">
        <v>186</v>
      </c>
      <c r="D11" s="223" t="s">
        <v>187</v>
      </c>
      <c r="E11" s="223" t="s">
        <v>146</v>
      </c>
      <c r="F11" s="233" t="s">
        <v>188</v>
      </c>
      <c r="G11" s="230" t="s">
        <v>157</v>
      </c>
      <c r="H11" s="223" t="s">
        <v>163</v>
      </c>
      <c r="I11" s="230" t="s">
        <v>189</v>
      </c>
      <c r="J11" s="230" t="s">
        <v>190</v>
      </c>
      <c r="S11" s="222" t="s">
        <v>143</v>
      </c>
      <c r="T11" s="222"/>
      <c r="U11" s="229"/>
      <c r="V11" s="222" t="s">
        <v>191</v>
      </c>
      <c r="W11" s="222"/>
      <c r="X11" s="222"/>
    </row>
    <row r="12" spans="1:55" ht="36.75" customHeight="1" x14ac:dyDescent="0.3">
      <c r="B12" s="227"/>
      <c r="C12" s="223"/>
      <c r="D12" s="223"/>
      <c r="E12" s="223"/>
      <c r="F12" s="231"/>
      <c r="G12" s="231"/>
      <c r="H12" s="223"/>
      <c r="I12" s="231"/>
      <c r="J12" s="231"/>
      <c r="S12" s="158" t="s">
        <v>151</v>
      </c>
      <c r="T12" s="159" t="s">
        <v>152</v>
      </c>
      <c r="U12" s="159" t="s">
        <v>192</v>
      </c>
      <c r="V12" s="158" t="s">
        <v>151</v>
      </c>
      <c r="W12" s="159" t="s">
        <v>152</v>
      </c>
      <c r="X12" s="159" t="s">
        <v>168</v>
      </c>
    </row>
    <row r="13" spans="1:55" ht="14.4" x14ac:dyDescent="0.3">
      <c r="B13" s="26">
        <v>1</v>
      </c>
      <c r="C13" s="25"/>
      <c r="D13" s="25"/>
      <c r="E13" s="25"/>
      <c r="F13" s="25">
        <v>40</v>
      </c>
      <c r="G13" s="25" t="s">
        <v>193</v>
      </c>
      <c r="H13" s="25" t="s">
        <v>155</v>
      </c>
      <c r="I13" s="25"/>
      <c r="J13" s="132"/>
      <c r="S13" s="160" t="str">
        <f>CONCATENATE(G13,H13)</f>
        <v>CocheGasolina  (l)</v>
      </c>
      <c r="T13" s="161">
        <f>IFERROR(VLOOKUP(S13,'FE Movilidad'!$E$6:$G$66,2,FALSE)," ")</f>
        <v>2.2269999999999999</v>
      </c>
      <c r="U13" s="161">
        <f>IFERROR(IF(I13&gt;0,I13*T13,F13*T13)," ")</f>
        <v>89.08</v>
      </c>
      <c r="V13" s="160" t="str">
        <f t="shared" ref="V13:V37" si="0">CONCATENATE(G13,J13)</f>
        <v>Coche</v>
      </c>
      <c r="W13" s="161" t="str">
        <f>IFERROR(VLOOKUP(V13,'FE Movilidad'!$D$107:$E$113,2,FALSE)," ")</f>
        <v xml:space="preserve"> </v>
      </c>
      <c r="X13" s="161" t="str">
        <f t="shared" ref="X13:X14" si="1">IFERROR(W13*F13," ")</f>
        <v xml:space="preserve"> </v>
      </c>
    </row>
    <row r="14" spans="1:55" ht="14.4" x14ac:dyDescent="0.3">
      <c r="B14" s="26">
        <v>2</v>
      </c>
      <c r="C14" s="25"/>
      <c r="D14" s="25"/>
      <c r="E14" s="25"/>
      <c r="F14" s="25">
        <v>20</v>
      </c>
      <c r="G14" s="25" t="s">
        <v>175</v>
      </c>
      <c r="H14" s="25"/>
      <c r="I14" s="25"/>
      <c r="J14" s="132"/>
      <c r="S14" s="160" t="str">
        <f t="shared" ref="S14:S37" si="2">CONCATENATE(G14,H14)</f>
        <v>Híbrido</v>
      </c>
      <c r="T14" s="161">
        <f>IFERROR(VLOOKUP(S14,'FE Movilidad'!$E$6:$G$66,2,FALSE)," ")</f>
        <v>8.5007334228187917E-2</v>
      </c>
      <c r="U14" s="161">
        <f t="shared" ref="U14:U37" si="3">IFERROR(IF(I14&gt;0,I14*T14,F14*T14)," ")</f>
        <v>1.7001466845637583</v>
      </c>
      <c r="V14" s="160" t="str">
        <f t="shared" si="0"/>
        <v>Híbrido</v>
      </c>
      <c r="W14" s="161" t="str">
        <f>IFERROR(VLOOKUP(V14,'FE Movilidad'!$D$107:$E$113,2,FALSE)," ")</f>
        <v xml:space="preserve"> </v>
      </c>
      <c r="X14" s="161" t="str">
        <f t="shared" si="1"/>
        <v xml:space="preserve"> </v>
      </c>
    </row>
    <row r="15" spans="1:55" ht="14.4" x14ac:dyDescent="0.3">
      <c r="B15" s="26">
        <v>3</v>
      </c>
      <c r="C15" s="25"/>
      <c r="D15" s="25"/>
      <c r="E15" s="25"/>
      <c r="F15" s="25">
        <v>40</v>
      </c>
      <c r="G15" s="25" t="s">
        <v>194</v>
      </c>
      <c r="H15" s="25" t="s">
        <v>177</v>
      </c>
      <c r="I15" s="25">
        <v>50</v>
      </c>
      <c r="J15" s="132">
        <v>0.5</v>
      </c>
      <c r="S15" s="160" t="str">
        <f t="shared" si="2"/>
        <v>Camión refrigeradoGasóleo (l)</v>
      </c>
      <c r="T15" s="161" t="str">
        <f>IFERROR(VLOOKUP(S15,'FE Movilidad'!$E$6:$G$66,2,FALSE)," ")</f>
        <v xml:space="preserve"> </v>
      </c>
      <c r="U15" s="161" t="str">
        <f t="shared" si="3"/>
        <v xml:space="preserve"> </v>
      </c>
      <c r="V15" s="160" t="str">
        <f t="shared" si="0"/>
        <v>Camión refrigerado0,5</v>
      </c>
      <c r="W15" s="161">
        <f>IFERROR(VLOOKUP(V15,'FE Movilidad'!$D$107:$E$113,2,FALSE)," ")</f>
        <v>0.95260847785234903</v>
      </c>
      <c r="X15" s="161">
        <f>IFERROR(W15*F15," ")</f>
        <v>38.10433911409396</v>
      </c>
    </row>
    <row r="16" spans="1:55" ht="14.4" x14ac:dyDescent="0.3">
      <c r="B16" s="26">
        <v>4</v>
      </c>
      <c r="C16" s="25"/>
      <c r="D16" s="25"/>
      <c r="E16" s="25"/>
      <c r="F16" s="25">
        <v>30</v>
      </c>
      <c r="G16" s="25" t="s">
        <v>603</v>
      </c>
      <c r="H16" s="25" t="s">
        <v>177</v>
      </c>
      <c r="I16" s="25"/>
      <c r="J16" s="132">
        <v>0.5</v>
      </c>
      <c r="S16" s="160" t="str">
        <f t="shared" si="2"/>
        <v>CamiónGasóleo (l)</v>
      </c>
      <c r="T16" s="161" t="str">
        <f>IFERROR(VLOOKUP(S16,'FE Movilidad'!$E$6:$G$66,2,FALSE)," ")</f>
        <v xml:space="preserve"> </v>
      </c>
      <c r="U16" s="161" t="str">
        <f t="shared" si="3"/>
        <v xml:space="preserve"> </v>
      </c>
      <c r="V16" s="160" t="str">
        <f t="shared" si="0"/>
        <v>Camión0,5</v>
      </c>
      <c r="W16" s="161">
        <f>IFERROR(VLOOKUP(V16,'FE Movilidad'!$D$107:$E$113,2,FALSE)," ")</f>
        <v>0.81376847785234896</v>
      </c>
      <c r="X16" s="161">
        <f t="shared" ref="X16:X37" si="4">IFERROR(W16*F16," ")</f>
        <v>24.413054335570468</v>
      </c>
    </row>
    <row r="17" spans="2:24" ht="14.4" x14ac:dyDescent="0.3">
      <c r="B17" s="26">
        <v>5</v>
      </c>
      <c r="C17" s="25"/>
      <c r="D17" s="25"/>
      <c r="E17" s="25"/>
      <c r="F17" s="25"/>
      <c r="G17" s="25"/>
      <c r="H17" s="25"/>
      <c r="I17" s="25"/>
      <c r="J17" s="132"/>
      <c r="S17" s="160" t="str">
        <f t="shared" si="2"/>
        <v/>
      </c>
      <c r="T17" s="161" t="str">
        <f>IFERROR(VLOOKUP(S17,'FE Movilidad'!$E$6:$G$66,2,FALSE)," ")</f>
        <v xml:space="preserve"> </v>
      </c>
      <c r="U17" s="161" t="str">
        <f t="shared" si="3"/>
        <v xml:space="preserve"> </v>
      </c>
      <c r="V17" s="160" t="str">
        <f t="shared" si="0"/>
        <v/>
      </c>
      <c r="W17" s="161" t="str">
        <f>IFERROR(VLOOKUP(V17,'FE Movilidad'!$D$107:$E$113,2,FALSE)," ")</f>
        <v xml:space="preserve"> </v>
      </c>
      <c r="X17" s="161" t="str">
        <f t="shared" si="4"/>
        <v xml:space="preserve"> </v>
      </c>
    </row>
    <row r="18" spans="2:24" ht="14.4" x14ac:dyDescent="0.3">
      <c r="B18" s="26">
        <v>6</v>
      </c>
      <c r="C18" s="25"/>
      <c r="D18" s="25"/>
      <c r="E18" s="25"/>
      <c r="F18" s="25"/>
      <c r="G18" s="25"/>
      <c r="H18" s="25"/>
      <c r="I18" s="25"/>
      <c r="J18" s="132"/>
      <c r="S18" s="160" t="str">
        <f t="shared" si="2"/>
        <v/>
      </c>
      <c r="T18" s="161" t="str">
        <f>IFERROR(VLOOKUP(S18,'FE Movilidad'!$E$6:$G$66,2,FALSE)," ")</f>
        <v xml:space="preserve"> </v>
      </c>
      <c r="U18" s="161" t="str">
        <f t="shared" si="3"/>
        <v xml:space="preserve"> </v>
      </c>
      <c r="V18" s="160" t="str">
        <f t="shared" si="0"/>
        <v/>
      </c>
      <c r="W18" s="161" t="str">
        <f>IFERROR(VLOOKUP(V18,'FE Movilidad'!$D$107:$E$113,2,FALSE)," ")</f>
        <v xml:space="preserve"> </v>
      </c>
      <c r="X18" s="161" t="str">
        <f t="shared" si="4"/>
        <v xml:space="preserve"> </v>
      </c>
    </row>
    <row r="19" spans="2:24" ht="14.4" x14ac:dyDescent="0.3">
      <c r="B19" s="26">
        <v>7</v>
      </c>
      <c r="C19" s="25"/>
      <c r="D19" s="25"/>
      <c r="E19" s="25"/>
      <c r="F19" s="25"/>
      <c r="G19" s="25"/>
      <c r="H19" s="25"/>
      <c r="I19" s="25"/>
      <c r="J19" s="132"/>
      <c r="S19" s="160" t="str">
        <f t="shared" si="2"/>
        <v/>
      </c>
      <c r="T19" s="161" t="str">
        <f>IFERROR(VLOOKUP(S19,'FE Movilidad'!$E$6:$G$66,2,FALSE)," ")</f>
        <v xml:space="preserve"> </v>
      </c>
      <c r="U19" s="161" t="str">
        <f t="shared" si="3"/>
        <v xml:space="preserve"> </v>
      </c>
      <c r="V19" s="160" t="str">
        <f t="shared" si="0"/>
        <v/>
      </c>
      <c r="W19" s="161" t="str">
        <f>IFERROR(VLOOKUP(V19,'FE Movilidad'!$D$107:$E$113,2,FALSE)," ")</f>
        <v xml:space="preserve"> </v>
      </c>
      <c r="X19" s="161" t="str">
        <f t="shared" si="4"/>
        <v xml:space="preserve"> </v>
      </c>
    </row>
    <row r="20" spans="2:24" ht="14.4" x14ac:dyDescent="0.3">
      <c r="B20" s="26">
        <v>8</v>
      </c>
      <c r="C20" s="25"/>
      <c r="D20" s="25"/>
      <c r="E20" s="25"/>
      <c r="F20" s="25"/>
      <c r="G20" s="25"/>
      <c r="H20" s="25"/>
      <c r="I20" s="25"/>
      <c r="J20" s="132"/>
      <c r="S20" s="160" t="str">
        <f t="shared" si="2"/>
        <v/>
      </c>
      <c r="T20" s="161" t="str">
        <f>IFERROR(VLOOKUP(S20,'FE Movilidad'!$E$6:$G$66,2,FALSE)," ")</f>
        <v xml:space="preserve"> </v>
      </c>
      <c r="U20" s="161" t="str">
        <f t="shared" si="3"/>
        <v xml:space="preserve"> </v>
      </c>
      <c r="V20" s="160" t="str">
        <f t="shared" si="0"/>
        <v/>
      </c>
      <c r="W20" s="161" t="str">
        <f>IFERROR(VLOOKUP(V20,'FE Movilidad'!$D$107:$E$113,2,FALSE)," ")</f>
        <v xml:space="preserve"> </v>
      </c>
      <c r="X20" s="161" t="str">
        <f t="shared" si="4"/>
        <v xml:space="preserve"> </v>
      </c>
    </row>
    <row r="21" spans="2:24" ht="14.4" x14ac:dyDescent="0.3">
      <c r="B21" s="26">
        <v>9</v>
      </c>
      <c r="C21" s="25"/>
      <c r="D21" s="25"/>
      <c r="E21" s="25"/>
      <c r="F21" s="25"/>
      <c r="G21" s="25"/>
      <c r="H21" s="25"/>
      <c r="I21" s="25"/>
      <c r="J21" s="132"/>
      <c r="S21" s="160" t="str">
        <f t="shared" si="2"/>
        <v/>
      </c>
      <c r="T21" s="161" t="str">
        <f>IFERROR(VLOOKUP(S21,'FE Movilidad'!$E$6:$G$66,2,FALSE)," ")</f>
        <v xml:space="preserve"> </v>
      </c>
      <c r="U21" s="161" t="str">
        <f t="shared" si="3"/>
        <v xml:space="preserve"> </v>
      </c>
      <c r="V21" s="160" t="str">
        <f t="shared" si="0"/>
        <v/>
      </c>
      <c r="W21" s="161" t="str">
        <f>IFERROR(VLOOKUP(V21,'FE Movilidad'!$D$107:$E$113,2,FALSE)," ")</f>
        <v xml:space="preserve"> </v>
      </c>
      <c r="X21" s="161" t="str">
        <f t="shared" si="4"/>
        <v xml:space="preserve"> </v>
      </c>
    </row>
    <row r="22" spans="2:24" ht="14.4" x14ac:dyDescent="0.3">
      <c r="B22" s="26">
        <v>10</v>
      </c>
      <c r="C22" s="25"/>
      <c r="D22" s="25"/>
      <c r="E22" s="25"/>
      <c r="F22" s="25"/>
      <c r="G22" s="25"/>
      <c r="H22" s="25"/>
      <c r="I22" s="25"/>
      <c r="J22" s="132"/>
      <c r="S22" s="160" t="str">
        <f t="shared" si="2"/>
        <v/>
      </c>
      <c r="T22" s="161" t="str">
        <f>IFERROR(VLOOKUP(S22,'FE Movilidad'!$E$6:$G$66,2,FALSE)," ")</f>
        <v xml:space="preserve"> </v>
      </c>
      <c r="U22" s="161" t="str">
        <f t="shared" si="3"/>
        <v xml:space="preserve"> </v>
      </c>
      <c r="V22" s="160" t="str">
        <f t="shared" si="0"/>
        <v/>
      </c>
      <c r="W22" s="161" t="str">
        <f>IFERROR(VLOOKUP(V22,'FE Movilidad'!$D$107:$E$113,2,FALSE)," ")</f>
        <v xml:space="preserve"> </v>
      </c>
      <c r="X22" s="161" t="str">
        <f t="shared" si="4"/>
        <v xml:space="preserve"> </v>
      </c>
    </row>
    <row r="23" spans="2:24" ht="14.4" x14ac:dyDescent="0.3">
      <c r="B23" s="26">
        <v>11</v>
      </c>
      <c r="C23" s="25"/>
      <c r="D23" s="25"/>
      <c r="E23" s="25"/>
      <c r="F23" s="25"/>
      <c r="G23" s="25"/>
      <c r="H23" s="25"/>
      <c r="I23" s="25"/>
      <c r="J23" s="132"/>
      <c r="S23" s="160" t="str">
        <f t="shared" si="2"/>
        <v/>
      </c>
      <c r="T23" s="161" t="str">
        <f>IFERROR(VLOOKUP(S23,'FE Movilidad'!$E$6:$G$66,2,FALSE)," ")</f>
        <v xml:space="preserve"> </v>
      </c>
      <c r="U23" s="161" t="str">
        <f t="shared" si="3"/>
        <v xml:space="preserve"> </v>
      </c>
      <c r="V23" s="160" t="str">
        <f t="shared" si="0"/>
        <v/>
      </c>
      <c r="W23" s="161" t="str">
        <f>IFERROR(VLOOKUP(V23,'FE Movilidad'!$D$107:$E$113,2,FALSE)," ")</f>
        <v xml:space="preserve"> </v>
      </c>
      <c r="X23" s="161" t="str">
        <f t="shared" si="4"/>
        <v xml:space="preserve"> </v>
      </c>
    </row>
    <row r="24" spans="2:24" ht="14.4" x14ac:dyDescent="0.3">
      <c r="B24" s="26">
        <v>12</v>
      </c>
      <c r="C24" s="25"/>
      <c r="D24" s="25"/>
      <c r="E24" s="25"/>
      <c r="F24" s="25"/>
      <c r="G24" s="25"/>
      <c r="H24" s="25"/>
      <c r="I24" s="25"/>
      <c r="J24" s="132"/>
      <c r="S24" s="160" t="str">
        <f t="shared" si="2"/>
        <v/>
      </c>
      <c r="T24" s="161" t="str">
        <f>IFERROR(VLOOKUP(S24,'FE Movilidad'!$E$6:$G$66,2,FALSE)," ")</f>
        <v xml:space="preserve"> </v>
      </c>
      <c r="U24" s="161" t="str">
        <f t="shared" si="3"/>
        <v xml:space="preserve"> </v>
      </c>
      <c r="V24" s="160" t="str">
        <f t="shared" si="0"/>
        <v/>
      </c>
      <c r="W24" s="161" t="str">
        <f>IFERROR(VLOOKUP(V24,'FE Movilidad'!$D$107:$E$113,2,FALSE)," ")</f>
        <v xml:space="preserve"> </v>
      </c>
      <c r="X24" s="161" t="str">
        <f t="shared" si="4"/>
        <v xml:space="preserve"> </v>
      </c>
    </row>
    <row r="25" spans="2:24" ht="14.4" x14ac:dyDescent="0.3">
      <c r="B25" s="26">
        <v>13</v>
      </c>
      <c r="C25" s="25"/>
      <c r="D25" s="25"/>
      <c r="E25" s="25"/>
      <c r="F25" s="25"/>
      <c r="G25" s="25"/>
      <c r="H25" s="25"/>
      <c r="I25" s="25"/>
      <c r="J25" s="132"/>
      <c r="S25" s="160" t="str">
        <f t="shared" si="2"/>
        <v/>
      </c>
      <c r="T25" s="161" t="str">
        <f>IFERROR(VLOOKUP(S25,'FE Movilidad'!$E$6:$G$66,2,FALSE)," ")</f>
        <v xml:space="preserve"> </v>
      </c>
      <c r="U25" s="161" t="str">
        <f t="shared" si="3"/>
        <v xml:space="preserve"> </v>
      </c>
      <c r="V25" s="160" t="str">
        <f t="shared" si="0"/>
        <v/>
      </c>
      <c r="W25" s="161" t="str">
        <f>IFERROR(VLOOKUP(V25,'FE Movilidad'!$D$107:$E$113,2,FALSE)," ")</f>
        <v xml:space="preserve"> </v>
      </c>
      <c r="X25" s="161" t="str">
        <f t="shared" si="4"/>
        <v xml:space="preserve"> </v>
      </c>
    </row>
    <row r="26" spans="2:24" ht="14.4" x14ac:dyDescent="0.3">
      <c r="B26" s="26">
        <v>14</v>
      </c>
      <c r="C26" s="25"/>
      <c r="D26" s="25"/>
      <c r="E26" s="25"/>
      <c r="F26" s="25"/>
      <c r="G26" s="25"/>
      <c r="H26" s="25"/>
      <c r="I26" s="25"/>
      <c r="J26" s="132"/>
      <c r="S26" s="160" t="str">
        <f t="shared" si="2"/>
        <v/>
      </c>
      <c r="T26" s="161" t="str">
        <f>IFERROR(VLOOKUP(S26,'FE Movilidad'!$E$6:$G$66,2,FALSE)," ")</f>
        <v xml:space="preserve"> </v>
      </c>
      <c r="U26" s="161" t="str">
        <f t="shared" si="3"/>
        <v xml:space="preserve"> </v>
      </c>
      <c r="V26" s="160" t="str">
        <f t="shared" si="0"/>
        <v/>
      </c>
      <c r="W26" s="161" t="str">
        <f>IFERROR(VLOOKUP(V26,'FE Movilidad'!$D$107:$E$113,2,FALSE)," ")</f>
        <v xml:space="preserve"> </v>
      </c>
      <c r="X26" s="161" t="str">
        <f t="shared" si="4"/>
        <v xml:space="preserve"> </v>
      </c>
    </row>
    <row r="27" spans="2:24" ht="14.4" x14ac:dyDescent="0.3">
      <c r="B27" s="26">
        <v>15</v>
      </c>
      <c r="C27" s="25"/>
      <c r="D27" s="25"/>
      <c r="E27" s="25"/>
      <c r="F27" s="25"/>
      <c r="G27" s="25"/>
      <c r="H27" s="25"/>
      <c r="I27" s="25"/>
      <c r="J27" s="132"/>
      <c r="S27" s="160" t="str">
        <f t="shared" si="2"/>
        <v/>
      </c>
      <c r="T27" s="161" t="str">
        <f>IFERROR(VLOOKUP(S27,'FE Movilidad'!$E$6:$G$66,2,FALSE)," ")</f>
        <v xml:space="preserve"> </v>
      </c>
      <c r="U27" s="161" t="str">
        <f t="shared" si="3"/>
        <v xml:space="preserve"> </v>
      </c>
      <c r="V27" s="160" t="str">
        <f t="shared" si="0"/>
        <v/>
      </c>
      <c r="W27" s="161" t="str">
        <f>IFERROR(VLOOKUP(V27,'FE Movilidad'!$D$107:$E$113,2,FALSE)," ")</f>
        <v xml:space="preserve"> </v>
      </c>
      <c r="X27" s="161" t="str">
        <f t="shared" si="4"/>
        <v xml:space="preserve"> </v>
      </c>
    </row>
    <row r="28" spans="2:24" ht="14.4" x14ac:dyDescent="0.3">
      <c r="B28" s="26">
        <v>16</v>
      </c>
      <c r="C28" s="25"/>
      <c r="D28" s="25"/>
      <c r="E28" s="25"/>
      <c r="F28" s="25"/>
      <c r="G28" s="25"/>
      <c r="H28" s="25"/>
      <c r="I28" s="25"/>
      <c r="J28" s="132"/>
      <c r="S28" s="160" t="str">
        <f t="shared" si="2"/>
        <v/>
      </c>
      <c r="T28" s="161" t="str">
        <f>IFERROR(VLOOKUP(S28,'FE Movilidad'!$E$6:$G$66,2,FALSE)," ")</f>
        <v xml:space="preserve"> </v>
      </c>
      <c r="U28" s="161" t="str">
        <f t="shared" si="3"/>
        <v xml:space="preserve"> </v>
      </c>
      <c r="V28" s="160" t="str">
        <f t="shared" si="0"/>
        <v/>
      </c>
      <c r="W28" s="161" t="str">
        <f>IFERROR(VLOOKUP(V28,'FE Movilidad'!$D$107:$E$113,2,FALSE)," ")</f>
        <v xml:space="preserve"> </v>
      </c>
      <c r="X28" s="161" t="str">
        <f t="shared" si="4"/>
        <v xml:space="preserve"> </v>
      </c>
    </row>
    <row r="29" spans="2:24" ht="14.4" x14ac:dyDescent="0.3">
      <c r="B29" s="26">
        <v>17</v>
      </c>
      <c r="C29" s="25"/>
      <c r="D29" s="25"/>
      <c r="E29" s="25"/>
      <c r="F29" s="25"/>
      <c r="G29" s="25"/>
      <c r="H29" s="25"/>
      <c r="I29" s="25"/>
      <c r="J29" s="132"/>
      <c r="S29" s="160" t="str">
        <f t="shared" si="2"/>
        <v/>
      </c>
      <c r="T29" s="161" t="str">
        <f>IFERROR(VLOOKUP(S29,'FE Movilidad'!$E$6:$G$66,2,FALSE)," ")</f>
        <v xml:space="preserve"> </v>
      </c>
      <c r="U29" s="161" t="str">
        <f t="shared" si="3"/>
        <v xml:space="preserve"> </v>
      </c>
      <c r="V29" s="160" t="str">
        <f t="shared" si="0"/>
        <v/>
      </c>
      <c r="W29" s="161" t="str">
        <f>IFERROR(VLOOKUP(V29,'FE Movilidad'!$D$107:$E$113,2,FALSE)," ")</f>
        <v xml:space="preserve"> </v>
      </c>
      <c r="X29" s="161" t="str">
        <f t="shared" si="4"/>
        <v xml:space="preserve"> </v>
      </c>
    </row>
    <row r="30" spans="2:24" ht="14.4" x14ac:dyDescent="0.3">
      <c r="B30" s="26">
        <v>18</v>
      </c>
      <c r="C30" s="25"/>
      <c r="D30" s="25"/>
      <c r="E30" s="25"/>
      <c r="F30" s="25"/>
      <c r="G30" s="25"/>
      <c r="H30" s="25"/>
      <c r="I30" s="25"/>
      <c r="J30" s="132"/>
      <c r="S30" s="160" t="str">
        <f t="shared" si="2"/>
        <v/>
      </c>
      <c r="T30" s="161" t="str">
        <f>IFERROR(VLOOKUP(S30,'FE Movilidad'!$E$6:$G$66,2,FALSE)," ")</f>
        <v xml:space="preserve"> </v>
      </c>
      <c r="U30" s="161" t="str">
        <f t="shared" si="3"/>
        <v xml:space="preserve"> </v>
      </c>
      <c r="V30" s="160" t="str">
        <f t="shared" si="0"/>
        <v/>
      </c>
      <c r="W30" s="161" t="str">
        <f>IFERROR(VLOOKUP(V30,'FE Movilidad'!$D$107:$E$113,2,FALSE)," ")</f>
        <v xml:space="preserve"> </v>
      </c>
      <c r="X30" s="161" t="str">
        <f t="shared" si="4"/>
        <v xml:space="preserve"> </v>
      </c>
    </row>
    <row r="31" spans="2:24" ht="14.4" x14ac:dyDescent="0.3">
      <c r="B31" s="26">
        <v>19</v>
      </c>
      <c r="C31" s="25"/>
      <c r="D31" s="25"/>
      <c r="E31" s="25"/>
      <c r="F31" s="25"/>
      <c r="G31" s="25"/>
      <c r="H31" s="25"/>
      <c r="I31" s="25"/>
      <c r="J31" s="132"/>
      <c r="S31" s="160" t="str">
        <f t="shared" si="2"/>
        <v/>
      </c>
      <c r="T31" s="161" t="str">
        <f>IFERROR(VLOOKUP(S31,'FE Movilidad'!$E$6:$G$66,2,FALSE)," ")</f>
        <v xml:space="preserve"> </v>
      </c>
      <c r="U31" s="161" t="str">
        <f t="shared" si="3"/>
        <v xml:space="preserve"> </v>
      </c>
      <c r="V31" s="160" t="str">
        <f t="shared" si="0"/>
        <v/>
      </c>
      <c r="W31" s="161" t="str">
        <f>IFERROR(VLOOKUP(V31,'FE Movilidad'!$D$107:$E$113,2,FALSE)," ")</f>
        <v xml:space="preserve"> </v>
      </c>
      <c r="X31" s="161" t="str">
        <f t="shared" si="4"/>
        <v xml:space="preserve"> </v>
      </c>
    </row>
    <row r="32" spans="2:24" ht="14.4" x14ac:dyDescent="0.3">
      <c r="B32" s="26">
        <v>20</v>
      </c>
      <c r="C32" s="25"/>
      <c r="D32" s="25"/>
      <c r="E32" s="25"/>
      <c r="F32" s="25"/>
      <c r="G32" s="25"/>
      <c r="H32" s="25"/>
      <c r="I32" s="25"/>
      <c r="J32" s="132"/>
      <c r="S32" s="160" t="str">
        <f t="shared" si="2"/>
        <v/>
      </c>
      <c r="T32" s="161" t="str">
        <f>IFERROR(VLOOKUP(S32,'FE Movilidad'!$E$6:$G$66,2,FALSE)," ")</f>
        <v xml:space="preserve"> </v>
      </c>
      <c r="U32" s="161" t="str">
        <f t="shared" si="3"/>
        <v xml:space="preserve"> </v>
      </c>
      <c r="V32" s="160" t="str">
        <f t="shared" si="0"/>
        <v/>
      </c>
      <c r="W32" s="161" t="str">
        <f>IFERROR(VLOOKUP(V32,'FE Movilidad'!$D$107:$E$113,2,FALSE)," ")</f>
        <v xml:space="preserve"> </v>
      </c>
      <c r="X32" s="161" t="str">
        <f t="shared" si="4"/>
        <v xml:space="preserve"> </v>
      </c>
    </row>
    <row r="33" spans="2:24" ht="14.4" x14ac:dyDescent="0.3">
      <c r="B33" s="26">
        <v>21</v>
      </c>
      <c r="C33" s="25"/>
      <c r="D33" s="25"/>
      <c r="E33" s="25"/>
      <c r="F33" s="25"/>
      <c r="G33" s="25"/>
      <c r="H33" s="25"/>
      <c r="I33" s="25"/>
      <c r="J33" s="132"/>
      <c r="S33" s="160" t="str">
        <f t="shared" si="2"/>
        <v/>
      </c>
      <c r="T33" s="161" t="str">
        <f>IFERROR(VLOOKUP(S33,'FE Movilidad'!$E$6:$G$66,2,FALSE)," ")</f>
        <v xml:space="preserve"> </v>
      </c>
      <c r="U33" s="161" t="str">
        <f t="shared" si="3"/>
        <v xml:space="preserve"> </v>
      </c>
      <c r="V33" s="160" t="str">
        <f t="shared" si="0"/>
        <v/>
      </c>
      <c r="W33" s="161" t="str">
        <f>IFERROR(VLOOKUP(V33,'FE Movilidad'!$D$107:$E$113,2,FALSE)," ")</f>
        <v xml:space="preserve"> </v>
      </c>
      <c r="X33" s="161" t="str">
        <f t="shared" si="4"/>
        <v xml:space="preserve"> </v>
      </c>
    </row>
    <row r="34" spans="2:24" ht="14.4" x14ac:dyDescent="0.3">
      <c r="B34" s="26">
        <v>22</v>
      </c>
      <c r="C34" s="25"/>
      <c r="D34" s="25"/>
      <c r="E34" s="25"/>
      <c r="F34" s="25"/>
      <c r="G34" s="25"/>
      <c r="H34" s="25"/>
      <c r="I34" s="25"/>
      <c r="J34" s="132"/>
      <c r="S34" s="160" t="str">
        <f t="shared" si="2"/>
        <v/>
      </c>
      <c r="T34" s="161" t="str">
        <f>IFERROR(VLOOKUP(S34,'FE Movilidad'!$E$6:$G$66,2,FALSE)," ")</f>
        <v xml:space="preserve"> </v>
      </c>
      <c r="U34" s="161" t="str">
        <f t="shared" si="3"/>
        <v xml:space="preserve"> </v>
      </c>
      <c r="V34" s="160" t="str">
        <f t="shared" si="0"/>
        <v/>
      </c>
      <c r="W34" s="161" t="str">
        <f>IFERROR(VLOOKUP(V34,'FE Movilidad'!$D$107:$E$113,2,FALSE)," ")</f>
        <v xml:space="preserve"> </v>
      </c>
      <c r="X34" s="161" t="str">
        <f t="shared" si="4"/>
        <v xml:space="preserve"> </v>
      </c>
    </row>
    <row r="35" spans="2:24" ht="14.4" x14ac:dyDescent="0.3">
      <c r="B35" s="26">
        <v>23</v>
      </c>
      <c r="C35" s="25"/>
      <c r="D35" s="25"/>
      <c r="E35" s="25"/>
      <c r="F35" s="25"/>
      <c r="G35" s="25"/>
      <c r="H35" s="25"/>
      <c r="I35" s="25"/>
      <c r="J35" s="132"/>
      <c r="S35" s="160" t="str">
        <f t="shared" si="2"/>
        <v/>
      </c>
      <c r="T35" s="161" t="str">
        <f>IFERROR(VLOOKUP(S35,'FE Movilidad'!$E$6:$G$66,2,FALSE)," ")</f>
        <v xml:space="preserve"> </v>
      </c>
      <c r="U35" s="161" t="str">
        <f t="shared" si="3"/>
        <v xml:space="preserve"> </v>
      </c>
      <c r="V35" s="160" t="str">
        <f t="shared" si="0"/>
        <v/>
      </c>
      <c r="W35" s="161" t="str">
        <f>IFERROR(VLOOKUP(V35,'FE Movilidad'!$D$107:$E$113,2,FALSE)," ")</f>
        <v xml:space="preserve"> </v>
      </c>
      <c r="X35" s="161" t="str">
        <f t="shared" si="4"/>
        <v xml:space="preserve"> </v>
      </c>
    </row>
    <row r="36" spans="2:24" ht="14.4" x14ac:dyDescent="0.3">
      <c r="B36" s="26">
        <v>24</v>
      </c>
      <c r="C36" s="25"/>
      <c r="D36" s="25"/>
      <c r="E36" s="25"/>
      <c r="F36" s="25"/>
      <c r="G36" s="25"/>
      <c r="H36" s="25"/>
      <c r="I36" s="25"/>
      <c r="J36" s="132"/>
      <c r="S36" s="160" t="str">
        <f t="shared" si="2"/>
        <v/>
      </c>
      <c r="T36" s="161" t="str">
        <f>IFERROR(VLOOKUP(S36,'FE Movilidad'!$E$6:$G$66,2,FALSE)," ")</f>
        <v xml:space="preserve"> </v>
      </c>
      <c r="U36" s="161" t="str">
        <f t="shared" si="3"/>
        <v xml:space="preserve"> </v>
      </c>
      <c r="V36" s="160" t="str">
        <f t="shared" si="0"/>
        <v/>
      </c>
      <c r="W36" s="161" t="str">
        <f>IFERROR(VLOOKUP(V36,'FE Movilidad'!$D$107:$E$113,2,FALSE)," ")</f>
        <v xml:space="preserve"> </v>
      </c>
      <c r="X36" s="161" t="str">
        <f t="shared" si="4"/>
        <v xml:space="preserve"> </v>
      </c>
    </row>
    <row r="37" spans="2:24" ht="14.4" x14ac:dyDescent="0.3">
      <c r="B37" s="26">
        <v>25</v>
      </c>
      <c r="C37" s="25"/>
      <c r="D37" s="25"/>
      <c r="E37" s="25"/>
      <c r="F37" s="25"/>
      <c r="G37" s="25"/>
      <c r="H37" s="25"/>
      <c r="I37" s="25"/>
      <c r="J37" s="132"/>
      <c r="S37" s="160" t="str">
        <f t="shared" si="2"/>
        <v/>
      </c>
      <c r="T37" s="161" t="str">
        <f>IFERROR(VLOOKUP(S37,'FE Movilidad'!$E$6:$G$66,2,FALSE)," ")</f>
        <v xml:space="preserve"> </v>
      </c>
      <c r="U37" s="161" t="str">
        <f t="shared" si="3"/>
        <v xml:space="preserve"> </v>
      </c>
      <c r="V37" s="160" t="str">
        <f t="shared" si="0"/>
        <v/>
      </c>
      <c r="W37" s="161" t="str">
        <f>IFERROR(VLOOKUP(V37,'FE Movilidad'!$D$107:$E$113,2,FALSE)," ")</f>
        <v xml:space="preserve"> </v>
      </c>
      <c r="X37" s="161" t="str">
        <f t="shared" si="4"/>
        <v xml:space="preserve"> </v>
      </c>
    </row>
    <row r="38" spans="2:24" ht="14.4" customHeight="1" x14ac:dyDescent="0.3"/>
    <row r="39" spans="2:24" ht="31.2" customHeight="1" x14ac:dyDescent="0.3">
      <c r="B39" s="8"/>
      <c r="I39" s="84" t="s">
        <v>77</v>
      </c>
      <c r="J39" s="70">
        <f>SUM(U13:U37,X13:X37)</f>
        <v>153.2975401342282</v>
      </c>
    </row>
    <row r="40" spans="2:24" ht="14.4" customHeight="1" x14ac:dyDescent="0.3"/>
  </sheetData>
  <sheetProtection algorithmName="SHA-512" hashValue="YCaXVvmDfCQUXvtJHLz+FoLv1JFiKivbi5WYE6Eis80/kGi0uPKIPLW98/6DkXJhv1Bbgm0/zINHZSdjbJW0Ow==" saltValue="87xpSjGUiROIxwWJBARBBw==" spinCount="100000" sheet="1" objects="1" scenarios="1"/>
  <protectedRanges>
    <protectedRange sqref="C13:J37" name="Rango3"/>
  </protectedRanges>
  <mergeCells count="15">
    <mergeCell ref="S11:U11"/>
    <mergeCell ref="V11:X11"/>
    <mergeCell ref="I11:I12"/>
    <mergeCell ref="I2:J2"/>
    <mergeCell ref="B5:J5"/>
    <mergeCell ref="G11:G12"/>
    <mergeCell ref="H11:H12"/>
    <mergeCell ref="B9:J9"/>
    <mergeCell ref="B11:B12"/>
    <mergeCell ref="C11:C12"/>
    <mergeCell ref="F11:F12"/>
    <mergeCell ref="J11:J12"/>
    <mergeCell ref="D11:D12"/>
    <mergeCell ref="E11:E12"/>
    <mergeCell ref="B6:J6"/>
  </mergeCell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BABA2405-E2EC-4E33-8111-E20B11D4468E}">
          <x14:formula1>
            <xm:f>'FE Movilidad'!$B$7:$B$64</xm:f>
          </x14:formula1>
          <xm:sqref>H13:H37</xm:sqref>
        </x14:dataValidation>
        <x14:dataValidation type="list" allowBlank="1" showInputMessage="1" showErrorMessage="1" xr:uid="{6C7D31CA-1C09-4DE2-B5AD-67815E442A7C}">
          <x14:formula1>
            <xm:f>'FE Movilidad'!$F$90:$F$96</xm:f>
          </x14:formula1>
          <xm:sqref>G13:G37</xm:sqref>
        </x14:dataValidation>
        <x14:dataValidation type="list" allowBlank="1" showInputMessage="1" showErrorMessage="1" xr:uid="{D7D8DFE3-0B17-4FB2-BEED-9F300459D19D}">
          <x14:formula1>
            <xm:f>'FE Movilidad'!$C$108:$C$110</xm:f>
          </x14:formula1>
          <xm:sqref>J13:J37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BBE37-9CF7-4FEE-920E-DB8BC4734CA3}">
  <dimension ref="A2:AG62"/>
  <sheetViews>
    <sheetView topLeftCell="G1" zoomScaleNormal="100" workbookViewId="0">
      <selection activeCell="AI8" sqref="AI8"/>
    </sheetView>
  </sheetViews>
  <sheetFormatPr baseColWidth="10" defaultColWidth="9.109375" defaultRowHeight="14.4" x14ac:dyDescent="0.3"/>
  <cols>
    <col min="1" max="1" width="9.44140625" style="1" customWidth="1"/>
    <col min="2" max="2" width="10.44140625" style="5" customWidth="1"/>
    <col min="3" max="3" width="35.88671875" style="1" customWidth="1"/>
    <col min="4" max="6" width="22.5546875" style="1" customWidth="1"/>
    <col min="7" max="8" width="34.6640625" style="1" customWidth="1"/>
    <col min="9" max="9" width="28" style="1" customWidth="1"/>
    <col min="10" max="10" width="17.88671875" style="1" customWidth="1"/>
    <col min="11" max="11" width="21.33203125" style="1" customWidth="1"/>
    <col min="12" max="12" width="18.6640625" style="1" customWidth="1"/>
    <col min="13" max="13" width="23.109375" style="1" customWidth="1"/>
    <col min="14" max="14" width="22.88671875" style="1" customWidth="1"/>
    <col min="15" max="15" width="18.44140625" style="1" customWidth="1"/>
    <col min="16" max="16" width="14.6640625" style="1" customWidth="1"/>
    <col min="17" max="17" width="20.109375" style="1" customWidth="1"/>
    <col min="18" max="18" width="19.33203125" style="1" customWidth="1"/>
    <col min="19" max="20" width="8.88671875" style="1" customWidth="1"/>
    <col min="21" max="21" width="15.6640625" style="1" customWidth="1"/>
    <col min="22" max="22" width="19.33203125" style="1" customWidth="1"/>
    <col min="23" max="23" width="22.5546875" style="1" hidden="1" customWidth="1"/>
    <col min="24" max="24" width="14.6640625" style="144" hidden="1" customWidth="1"/>
    <col min="25" max="33" width="24.88671875" style="144" hidden="1" customWidth="1"/>
    <col min="34" max="46" width="24.88671875" style="1" customWidth="1"/>
    <col min="47" max="47" width="14.109375" style="1" customWidth="1"/>
    <col min="48" max="16384" width="9.109375" style="1"/>
  </cols>
  <sheetData>
    <row r="2" spans="1:32" ht="25.8" x14ac:dyDescent="0.3">
      <c r="A2" s="6"/>
      <c r="B2" s="10" t="s">
        <v>195</v>
      </c>
      <c r="G2" s="9"/>
      <c r="H2" s="9" t="s">
        <v>196</v>
      </c>
      <c r="I2" s="214" t="s">
        <v>197</v>
      </c>
      <c r="J2" s="214"/>
    </row>
    <row r="4" spans="1:32" ht="31.95" customHeight="1" x14ac:dyDescent="0.3">
      <c r="B4" s="215" t="s">
        <v>198</v>
      </c>
      <c r="C4" s="215"/>
      <c r="D4" s="215"/>
      <c r="E4" s="215"/>
      <c r="F4" s="215"/>
      <c r="G4" s="215"/>
      <c r="H4" s="215"/>
      <c r="I4" s="215"/>
      <c r="J4" s="215"/>
      <c r="K4" s="215"/>
      <c r="L4" s="215"/>
      <c r="M4" s="215"/>
      <c r="N4" s="215"/>
      <c r="O4" s="215"/>
      <c r="P4" s="215"/>
    </row>
    <row r="5" spans="1:32" x14ac:dyDescent="0.3">
      <c r="B5" s="28"/>
    </row>
    <row r="6" spans="1:32" x14ac:dyDescent="0.3">
      <c r="B6" s="240" t="s">
        <v>199</v>
      </c>
      <c r="C6" s="238" t="s">
        <v>200</v>
      </c>
      <c r="D6" s="239"/>
      <c r="E6" s="239"/>
      <c r="F6" s="239"/>
      <c r="G6" s="239"/>
      <c r="H6" s="239"/>
      <c r="I6" s="239"/>
      <c r="J6" s="239"/>
      <c r="K6" s="238" t="s">
        <v>201</v>
      </c>
      <c r="L6" s="238"/>
      <c r="M6" s="238"/>
      <c r="N6" s="238"/>
      <c r="O6" s="238"/>
      <c r="P6" s="238"/>
    </row>
    <row r="7" spans="1:32" ht="14.4" customHeight="1" x14ac:dyDescent="0.3">
      <c r="B7" s="240"/>
      <c r="C7" s="239"/>
      <c r="D7" s="239"/>
      <c r="E7" s="239"/>
      <c r="F7" s="239"/>
      <c r="G7" s="239"/>
      <c r="H7" s="239"/>
      <c r="I7" s="239"/>
      <c r="J7" s="239"/>
      <c r="K7" s="238"/>
      <c r="L7" s="238"/>
      <c r="M7" s="238"/>
      <c r="N7" s="238"/>
      <c r="O7" s="238"/>
      <c r="P7" s="238"/>
    </row>
    <row r="8" spans="1:32" ht="73.2" customHeight="1" x14ac:dyDescent="0.3">
      <c r="B8" s="240"/>
      <c r="C8" s="240" t="s">
        <v>187</v>
      </c>
      <c r="D8" s="240" t="s">
        <v>146</v>
      </c>
      <c r="E8" s="242" t="s">
        <v>202</v>
      </c>
      <c r="F8" s="243"/>
      <c r="G8" s="102" t="s">
        <v>203</v>
      </c>
      <c r="H8" s="244" t="s">
        <v>204</v>
      </c>
      <c r="I8" s="244"/>
      <c r="J8" s="244"/>
      <c r="K8" s="240" t="s">
        <v>187</v>
      </c>
      <c r="L8" s="240" t="s">
        <v>146</v>
      </c>
      <c r="M8" s="240" t="s">
        <v>205</v>
      </c>
      <c r="N8" s="238" t="s">
        <v>206</v>
      </c>
      <c r="O8" s="238"/>
      <c r="P8" s="238"/>
      <c r="Q8" s="108" t="s">
        <v>207</v>
      </c>
      <c r="Z8" s="157" t="s">
        <v>208</v>
      </c>
      <c r="AA8" s="157" t="s">
        <v>209</v>
      </c>
      <c r="AB8" s="229" t="s">
        <v>210</v>
      </c>
      <c r="AC8" s="235"/>
      <c r="AD8" s="229" t="s">
        <v>143</v>
      </c>
      <c r="AE8" s="236"/>
      <c r="AF8" s="237"/>
    </row>
    <row r="9" spans="1:32" ht="43.95" customHeight="1" x14ac:dyDescent="0.3">
      <c r="B9" s="241"/>
      <c r="C9" s="241"/>
      <c r="D9" s="241"/>
      <c r="E9" s="105" t="s">
        <v>211</v>
      </c>
      <c r="F9" s="105" t="s">
        <v>212</v>
      </c>
      <c r="G9" s="105" t="s">
        <v>213</v>
      </c>
      <c r="H9" s="105" t="s">
        <v>214</v>
      </c>
      <c r="I9" s="105" t="s">
        <v>215</v>
      </c>
      <c r="J9" s="105" t="s">
        <v>216</v>
      </c>
      <c r="K9" s="240"/>
      <c r="L9" s="240"/>
      <c r="M9" s="240"/>
      <c r="N9" s="104" t="s">
        <v>217</v>
      </c>
      <c r="O9" s="104" t="s">
        <v>163</v>
      </c>
      <c r="P9" s="104" t="s">
        <v>218</v>
      </c>
      <c r="Z9" s="159" t="s">
        <v>192</v>
      </c>
      <c r="AA9" s="159" t="s">
        <v>192</v>
      </c>
      <c r="AB9" s="158" t="s">
        <v>151</v>
      </c>
      <c r="AC9" s="159" t="s">
        <v>192</v>
      </c>
      <c r="AD9" s="158" t="s">
        <v>151</v>
      </c>
      <c r="AE9" s="159" t="s">
        <v>152</v>
      </c>
      <c r="AF9" s="159" t="s">
        <v>192</v>
      </c>
    </row>
    <row r="10" spans="1:32" x14ac:dyDescent="0.3">
      <c r="B10" s="103">
        <v>1</v>
      </c>
      <c r="C10" s="35"/>
      <c r="D10" s="35"/>
      <c r="E10" s="35" t="s">
        <v>219</v>
      </c>
      <c r="F10" s="35">
        <v>50</v>
      </c>
      <c r="G10" s="35"/>
      <c r="H10" s="35" t="s">
        <v>220</v>
      </c>
      <c r="I10" s="35" t="s">
        <v>221</v>
      </c>
      <c r="J10" s="35">
        <v>50</v>
      </c>
      <c r="K10" s="35"/>
      <c r="L10" s="35"/>
      <c r="M10" s="35">
        <v>3</v>
      </c>
      <c r="N10" s="35" t="s">
        <v>193</v>
      </c>
      <c r="O10" s="35" t="s">
        <v>155</v>
      </c>
      <c r="P10" s="35">
        <v>50</v>
      </c>
      <c r="Z10" s="160">
        <f>IFERROR((VLOOKUP(E10,'FE Movilidad'!$B$73:$D$80,2,FALSE))*'Mov. artistas'!F10," ")</f>
        <v>1.325</v>
      </c>
      <c r="AA10" s="160">
        <f>IFERROR(G10*'FE Movilidad'!$E$140," ")</f>
        <v>0</v>
      </c>
      <c r="AB10" s="160" t="str">
        <f>CONCATENATE(H10,I10)</f>
        <v>DomésticosEconomy class</v>
      </c>
      <c r="AC10" s="160">
        <f>IFERROR(VLOOKUP(AB10,'FE Movilidad'!$E$123:$G$134,3,FALSE)*'Mov. artistas'!J10," ")</f>
        <v>13.628839261744966</v>
      </c>
      <c r="AD10" s="160" t="str">
        <f>CONCATENATE(N10,O10)</f>
        <v>CocheGasolina  (l)</v>
      </c>
      <c r="AE10" s="161">
        <f>IFERROR(VLOOKUP(AD10,'FE Movilidad'!$E$6:$G$66,2,FALSE)," ")</f>
        <v>2.2269999999999999</v>
      </c>
      <c r="AF10" s="161">
        <f>IFERROR(AE10*P10*M10," ")</f>
        <v>334.04999999999995</v>
      </c>
    </row>
    <row r="11" spans="1:32" x14ac:dyDescent="0.3">
      <c r="B11" s="103">
        <v>2</v>
      </c>
      <c r="C11" s="35"/>
      <c r="D11" s="35"/>
      <c r="E11" s="35"/>
      <c r="F11" s="35"/>
      <c r="G11" s="35"/>
      <c r="H11" s="35"/>
      <c r="I11" s="35"/>
      <c r="J11" s="35"/>
      <c r="K11" s="35"/>
      <c r="L11" s="35"/>
      <c r="M11" s="35"/>
      <c r="N11" s="35"/>
      <c r="O11" s="35"/>
      <c r="P11" s="35"/>
      <c r="Z11" s="160" t="str">
        <f>IFERROR((VLOOKUP(E11,'FE Movilidad'!$B$73:$D$80,2,FALSE))*'Mov. artistas'!F11," ")</f>
        <v xml:space="preserve"> </v>
      </c>
      <c r="AA11" s="160">
        <f>IFERROR(G11*'FE Movilidad'!$E$140," ")</f>
        <v>0</v>
      </c>
      <c r="AB11" s="160" t="str">
        <f t="shared" ref="AB11:AB59" si="0">CONCATENATE(H11,I11)</f>
        <v/>
      </c>
      <c r="AC11" s="160" t="str">
        <f>IFERROR(VLOOKUP(AB11,'FE Movilidad'!$E$123:$G$134,3,FALSE)*'Mov. artistas'!J11," ")</f>
        <v xml:space="preserve"> </v>
      </c>
      <c r="AD11" s="160" t="str">
        <f t="shared" ref="AD11:AD59" si="1">CONCATENATE(N11,O11)</f>
        <v/>
      </c>
      <c r="AE11" s="161" t="str">
        <f>IFERROR(VLOOKUP(AD11,'FE Movilidad'!$E$6:$G$66,2,FALSE)," ")</f>
        <v xml:space="preserve"> </v>
      </c>
      <c r="AF11" s="161" t="str">
        <f t="shared" ref="AF11:AF59" si="2">IFERROR(AE11*P11*M11," ")</f>
        <v xml:space="preserve"> </v>
      </c>
    </row>
    <row r="12" spans="1:32" x14ac:dyDescent="0.3">
      <c r="B12" s="103">
        <v>3</v>
      </c>
      <c r="C12" s="35"/>
      <c r="D12" s="35"/>
      <c r="E12" s="35"/>
      <c r="F12" s="35"/>
      <c r="G12" s="35"/>
      <c r="H12" s="35"/>
      <c r="I12" s="35"/>
      <c r="J12" s="35"/>
      <c r="K12" s="35"/>
      <c r="L12" s="35"/>
      <c r="M12" s="35"/>
      <c r="N12" s="35"/>
      <c r="O12" s="35"/>
      <c r="P12" s="35"/>
      <c r="Z12" s="160" t="str">
        <f>IFERROR((VLOOKUP(E12,'FE Movilidad'!$B$73:$D$80,2,FALSE))*'Mov. artistas'!F12," ")</f>
        <v xml:space="preserve"> </v>
      </c>
      <c r="AA12" s="160">
        <f>IFERROR(G12*'FE Movilidad'!$E$140," ")</f>
        <v>0</v>
      </c>
      <c r="AB12" s="160" t="str">
        <f t="shared" si="0"/>
        <v/>
      </c>
      <c r="AC12" s="160" t="str">
        <f>IFERROR(VLOOKUP(AB12,'FE Movilidad'!$E$123:$G$134,3,FALSE)*'Mov. artistas'!J12," ")</f>
        <v xml:space="preserve"> </v>
      </c>
      <c r="AD12" s="160" t="str">
        <f t="shared" si="1"/>
        <v/>
      </c>
      <c r="AE12" s="161" t="str">
        <f>IFERROR(VLOOKUP(AD12,'FE Movilidad'!$E$6:$G$66,2,FALSE)," ")</f>
        <v xml:space="preserve"> </v>
      </c>
      <c r="AF12" s="161" t="str">
        <f t="shared" si="2"/>
        <v xml:space="preserve"> </v>
      </c>
    </row>
    <row r="13" spans="1:32" x14ac:dyDescent="0.3">
      <c r="B13" s="103">
        <v>4</v>
      </c>
      <c r="C13" s="35"/>
      <c r="D13" s="35"/>
      <c r="E13" s="35"/>
      <c r="F13" s="35"/>
      <c r="G13" s="35"/>
      <c r="H13" s="35"/>
      <c r="I13" s="35"/>
      <c r="J13" s="35"/>
      <c r="K13" s="35"/>
      <c r="L13" s="35"/>
      <c r="M13" s="35"/>
      <c r="N13" s="35"/>
      <c r="O13" s="35"/>
      <c r="P13" s="35"/>
      <c r="Z13" s="160" t="str">
        <f>IFERROR((VLOOKUP(E13,'FE Movilidad'!$B$73:$D$80,2,FALSE))*'Mov. artistas'!F13," ")</f>
        <v xml:space="preserve"> </v>
      </c>
      <c r="AA13" s="160">
        <f>IFERROR(G13*'FE Movilidad'!$E$140," ")</f>
        <v>0</v>
      </c>
      <c r="AB13" s="160" t="str">
        <f t="shared" si="0"/>
        <v/>
      </c>
      <c r="AC13" s="160" t="str">
        <f>IFERROR(VLOOKUP(AB13,'FE Movilidad'!$E$123:$G$134,3,FALSE)*'Mov. artistas'!J13," ")</f>
        <v xml:space="preserve"> </v>
      </c>
      <c r="AD13" s="160" t="str">
        <f t="shared" si="1"/>
        <v/>
      </c>
      <c r="AE13" s="161" t="str">
        <f>IFERROR(VLOOKUP(AD13,'FE Movilidad'!$E$6:$G$66,2,FALSE)," ")</f>
        <v xml:space="preserve"> </v>
      </c>
      <c r="AF13" s="161" t="str">
        <f t="shared" si="2"/>
        <v xml:space="preserve"> </v>
      </c>
    </row>
    <row r="14" spans="1:32" x14ac:dyDescent="0.3">
      <c r="B14" s="103">
        <v>5</v>
      </c>
      <c r="C14" s="35"/>
      <c r="D14" s="35"/>
      <c r="E14" s="35"/>
      <c r="F14" s="35"/>
      <c r="G14" s="35"/>
      <c r="H14" s="35"/>
      <c r="I14" s="35"/>
      <c r="J14" s="35"/>
      <c r="K14" s="35"/>
      <c r="L14" s="35"/>
      <c r="M14" s="35"/>
      <c r="N14" s="35"/>
      <c r="O14" s="35"/>
      <c r="P14" s="35"/>
      <c r="Z14" s="160" t="str">
        <f>IFERROR((VLOOKUP(E14,'FE Movilidad'!$B$73:$D$80,2,FALSE))*'Mov. artistas'!F14," ")</f>
        <v xml:space="preserve"> </v>
      </c>
      <c r="AA14" s="160">
        <f>IFERROR(G14*'FE Movilidad'!$E$140," ")</f>
        <v>0</v>
      </c>
      <c r="AB14" s="160" t="str">
        <f t="shared" si="0"/>
        <v/>
      </c>
      <c r="AC14" s="160" t="str">
        <f>IFERROR(VLOOKUP(AB14,'FE Movilidad'!$E$123:$G$134,3,FALSE)*'Mov. artistas'!J14," ")</f>
        <v xml:space="preserve"> </v>
      </c>
      <c r="AD14" s="160" t="str">
        <f t="shared" si="1"/>
        <v/>
      </c>
      <c r="AE14" s="161" t="str">
        <f>IFERROR(VLOOKUP(AD14,'FE Movilidad'!$E$6:$G$66,2,FALSE)," ")</f>
        <v xml:space="preserve"> </v>
      </c>
      <c r="AF14" s="161" t="str">
        <f t="shared" si="2"/>
        <v xml:space="preserve"> </v>
      </c>
    </row>
    <row r="15" spans="1:32" x14ac:dyDescent="0.3">
      <c r="B15" s="103">
        <v>6</v>
      </c>
      <c r="C15" s="35"/>
      <c r="D15" s="35"/>
      <c r="E15" s="35"/>
      <c r="F15" s="35"/>
      <c r="G15" s="35"/>
      <c r="H15" s="35"/>
      <c r="I15" s="35"/>
      <c r="J15" s="35"/>
      <c r="K15" s="35"/>
      <c r="L15" s="35"/>
      <c r="M15" s="35"/>
      <c r="N15" s="35"/>
      <c r="O15" s="35"/>
      <c r="P15" s="35"/>
      <c r="Z15" s="160" t="str">
        <f>IFERROR((VLOOKUP(E15,'FE Movilidad'!$B$73:$D$80,2,FALSE))*'Mov. artistas'!F15," ")</f>
        <v xml:space="preserve"> </v>
      </c>
      <c r="AA15" s="160">
        <f>IFERROR(G15*'FE Movilidad'!$E$140," ")</f>
        <v>0</v>
      </c>
      <c r="AB15" s="160" t="str">
        <f t="shared" si="0"/>
        <v/>
      </c>
      <c r="AC15" s="160" t="str">
        <f>IFERROR(VLOOKUP(AB15,'FE Movilidad'!$E$123:$G$134,3,FALSE)*'Mov. artistas'!J15," ")</f>
        <v xml:space="preserve"> </v>
      </c>
      <c r="AD15" s="160" t="str">
        <f t="shared" si="1"/>
        <v/>
      </c>
      <c r="AE15" s="161" t="str">
        <f>IFERROR(VLOOKUP(AD15,'FE Movilidad'!$E$6:$G$66,2,FALSE)," ")</f>
        <v xml:space="preserve"> </v>
      </c>
      <c r="AF15" s="161" t="str">
        <f t="shared" si="2"/>
        <v xml:space="preserve"> </v>
      </c>
    </row>
    <row r="16" spans="1:32" x14ac:dyDescent="0.3">
      <c r="B16" s="103">
        <v>7</v>
      </c>
      <c r="C16" s="35"/>
      <c r="D16" s="35"/>
      <c r="E16" s="35"/>
      <c r="F16" s="35"/>
      <c r="G16" s="35"/>
      <c r="H16" s="35"/>
      <c r="I16" s="35"/>
      <c r="J16" s="35"/>
      <c r="K16" s="35"/>
      <c r="L16" s="35"/>
      <c r="M16" s="35"/>
      <c r="N16" s="35"/>
      <c r="O16" s="35"/>
      <c r="P16" s="35"/>
      <c r="Z16" s="160" t="str">
        <f>IFERROR((VLOOKUP(E16,'FE Movilidad'!$B$73:$D$80,2,FALSE))*'Mov. artistas'!F16," ")</f>
        <v xml:space="preserve"> </v>
      </c>
      <c r="AA16" s="160">
        <f>IFERROR(G16*'FE Movilidad'!$E$140," ")</f>
        <v>0</v>
      </c>
      <c r="AB16" s="160" t="str">
        <f t="shared" si="0"/>
        <v/>
      </c>
      <c r="AC16" s="160" t="str">
        <f>IFERROR(VLOOKUP(AB16,'FE Movilidad'!$E$123:$G$134,3,FALSE)*'Mov. artistas'!J16," ")</f>
        <v xml:space="preserve"> </v>
      </c>
      <c r="AD16" s="160" t="str">
        <f t="shared" si="1"/>
        <v/>
      </c>
      <c r="AE16" s="161" t="str">
        <f>IFERROR(VLOOKUP(AD16,'FE Movilidad'!$E$6:$G$66,2,FALSE)," ")</f>
        <v xml:space="preserve"> </v>
      </c>
      <c r="AF16" s="161" t="str">
        <f t="shared" si="2"/>
        <v xml:space="preserve"> </v>
      </c>
    </row>
    <row r="17" spans="2:32" x14ac:dyDescent="0.3">
      <c r="B17" s="103">
        <v>8</v>
      </c>
      <c r="C17" s="35"/>
      <c r="D17" s="35"/>
      <c r="E17" s="35"/>
      <c r="F17" s="35"/>
      <c r="G17" s="35"/>
      <c r="H17" s="35"/>
      <c r="I17" s="35"/>
      <c r="J17" s="35"/>
      <c r="K17" s="35"/>
      <c r="L17" s="35"/>
      <c r="M17" s="35"/>
      <c r="N17" s="35"/>
      <c r="O17" s="35"/>
      <c r="P17" s="35"/>
      <c r="Z17" s="160" t="str">
        <f>IFERROR((VLOOKUP(E17,'FE Movilidad'!$B$73:$D$80,2,FALSE))*'Mov. artistas'!F17," ")</f>
        <v xml:space="preserve"> </v>
      </c>
      <c r="AA17" s="160">
        <f>IFERROR(G17*'FE Movilidad'!$E$140," ")</f>
        <v>0</v>
      </c>
      <c r="AB17" s="160" t="str">
        <f t="shared" si="0"/>
        <v/>
      </c>
      <c r="AC17" s="160" t="str">
        <f>IFERROR(VLOOKUP(AB17,'FE Movilidad'!$E$123:$G$134,3,FALSE)*'Mov. artistas'!J17," ")</f>
        <v xml:space="preserve"> </v>
      </c>
      <c r="AD17" s="160" t="str">
        <f t="shared" si="1"/>
        <v/>
      </c>
      <c r="AE17" s="161" t="str">
        <f>IFERROR(VLOOKUP(AD17,'FE Movilidad'!$E$6:$G$66,2,FALSE)," ")</f>
        <v xml:space="preserve"> </v>
      </c>
      <c r="AF17" s="161" t="str">
        <f t="shared" si="2"/>
        <v xml:space="preserve"> </v>
      </c>
    </row>
    <row r="18" spans="2:32" x14ac:dyDescent="0.3">
      <c r="B18" s="103">
        <v>9</v>
      </c>
      <c r="C18" s="35"/>
      <c r="D18" s="35"/>
      <c r="E18" s="35"/>
      <c r="F18" s="35"/>
      <c r="G18" s="35"/>
      <c r="H18" s="35"/>
      <c r="I18" s="35"/>
      <c r="J18" s="35"/>
      <c r="K18" s="35"/>
      <c r="L18" s="35"/>
      <c r="M18" s="35"/>
      <c r="N18" s="35"/>
      <c r="O18" s="35"/>
      <c r="P18" s="35"/>
      <c r="Z18" s="160" t="str">
        <f>IFERROR((VLOOKUP(E18,'FE Movilidad'!$B$73:$D$80,2,FALSE))*'Mov. artistas'!F18," ")</f>
        <v xml:space="preserve"> </v>
      </c>
      <c r="AA18" s="160">
        <f>IFERROR(G18*'FE Movilidad'!$E$140," ")</f>
        <v>0</v>
      </c>
      <c r="AB18" s="160" t="str">
        <f t="shared" si="0"/>
        <v/>
      </c>
      <c r="AC18" s="160" t="str">
        <f>IFERROR(VLOOKUP(AB18,'FE Movilidad'!$E$123:$G$134,3,FALSE)*'Mov. artistas'!J18," ")</f>
        <v xml:space="preserve"> </v>
      </c>
      <c r="AD18" s="160" t="str">
        <f t="shared" si="1"/>
        <v/>
      </c>
      <c r="AE18" s="161" t="str">
        <f>IFERROR(VLOOKUP(AD18,'FE Movilidad'!$E$6:$G$66,2,FALSE)," ")</f>
        <v xml:space="preserve"> </v>
      </c>
      <c r="AF18" s="161" t="str">
        <f t="shared" si="2"/>
        <v xml:space="preserve"> </v>
      </c>
    </row>
    <row r="19" spans="2:32" x14ac:dyDescent="0.3">
      <c r="B19" s="103">
        <v>10</v>
      </c>
      <c r="C19" s="35"/>
      <c r="D19" s="35"/>
      <c r="E19" s="35"/>
      <c r="F19" s="35"/>
      <c r="G19" s="35"/>
      <c r="H19" s="35"/>
      <c r="I19" s="35"/>
      <c r="J19" s="35"/>
      <c r="K19" s="35"/>
      <c r="L19" s="35"/>
      <c r="M19" s="35"/>
      <c r="N19" s="35"/>
      <c r="O19" s="35"/>
      <c r="P19" s="35"/>
      <c r="Z19" s="160" t="str">
        <f>IFERROR((VLOOKUP(E19,'FE Movilidad'!$B$73:$D$80,2,FALSE))*'Mov. artistas'!F19," ")</f>
        <v xml:space="preserve"> </v>
      </c>
      <c r="AA19" s="160">
        <f>IFERROR(G19*'FE Movilidad'!$E$140," ")</f>
        <v>0</v>
      </c>
      <c r="AB19" s="160" t="str">
        <f t="shared" si="0"/>
        <v/>
      </c>
      <c r="AC19" s="160" t="str">
        <f>IFERROR(VLOOKUP(AB19,'FE Movilidad'!$E$123:$G$134,3,FALSE)*'Mov. artistas'!J19," ")</f>
        <v xml:space="preserve"> </v>
      </c>
      <c r="AD19" s="160" t="str">
        <f t="shared" si="1"/>
        <v/>
      </c>
      <c r="AE19" s="161" t="str">
        <f>IFERROR(VLOOKUP(AD19,'FE Movilidad'!$E$6:$G$66,2,FALSE)," ")</f>
        <v xml:space="preserve"> </v>
      </c>
      <c r="AF19" s="161" t="str">
        <f t="shared" si="2"/>
        <v xml:space="preserve"> </v>
      </c>
    </row>
    <row r="20" spans="2:32" x14ac:dyDescent="0.3">
      <c r="B20" s="103">
        <v>11</v>
      </c>
      <c r="C20" s="35"/>
      <c r="D20" s="35"/>
      <c r="E20" s="35"/>
      <c r="F20" s="35"/>
      <c r="G20" s="35"/>
      <c r="H20" s="35"/>
      <c r="I20" s="35"/>
      <c r="J20" s="35"/>
      <c r="K20" s="35"/>
      <c r="L20" s="35"/>
      <c r="M20" s="35"/>
      <c r="N20" s="35"/>
      <c r="O20" s="35"/>
      <c r="P20" s="35"/>
      <c r="Z20" s="160" t="str">
        <f>IFERROR((VLOOKUP(E20,'FE Movilidad'!$B$73:$D$80,2,FALSE))*'Mov. artistas'!F20," ")</f>
        <v xml:space="preserve"> </v>
      </c>
      <c r="AA20" s="160">
        <f>IFERROR(G20*'FE Movilidad'!$E$140," ")</f>
        <v>0</v>
      </c>
      <c r="AB20" s="160" t="str">
        <f t="shared" si="0"/>
        <v/>
      </c>
      <c r="AC20" s="160" t="str">
        <f>IFERROR(VLOOKUP(AB20,'FE Movilidad'!$E$123:$G$134,3,FALSE)*'Mov. artistas'!J20," ")</f>
        <v xml:space="preserve"> </v>
      </c>
      <c r="AD20" s="160" t="str">
        <f t="shared" si="1"/>
        <v/>
      </c>
      <c r="AE20" s="161" t="str">
        <f>IFERROR(VLOOKUP(AD20,'FE Movilidad'!$E$6:$G$66,2,FALSE)," ")</f>
        <v xml:space="preserve"> </v>
      </c>
      <c r="AF20" s="161" t="str">
        <f t="shared" si="2"/>
        <v xml:space="preserve"> </v>
      </c>
    </row>
    <row r="21" spans="2:32" x14ac:dyDescent="0.3">
      <c r="B21" s="103">
        <v>12</v>
      </c>
      <c r="C21" s="35"/>
      <c r="D21" s="35"/>
      <c r="E21" s="35"/>
      <c r="F21" s="35"/>
      <c r="G21" s="35"/>
      <c r="H21" s="35"/>
      <c r="I21" s="35"/>
      <c r="J21" s="35"/>
      <c r="K21" s="35"/>
      <c r="L21" s="35"/>
      <c r="M21" s="35"/>
      <c r="N21" s="35"/>
      <c r="O21" s="35"/>
      <c r="P21" s="35"/>
      <c r="Z21" s="160" t="str">
        <f>IFERROR((VLOOKUP(E21,'FE Movilidad'!$B$73:$D$80,2,FALSE))*'Mov. artistas'!F21," ")</f>
        <v xml:space="preserve"> </v>
      </c>
      <c r="AA21" s="160">
        <f>IFERROR(G21*'FE Movilidad'!$E$140," ")</f>
        <v>0</v>
      </c>
      <c r="AB21" s="160" t="str">
        <f t="shared" si="0"/>
        <v/>
      </c>
      <c r="AC21" s="160" t="str">
        <f>IFERROR(VLOOKUP(AB21,'FE Movilidad'!$E$123:$G$134,3,FALSE)*'Mov. artistas'!J21," ")</f>
        <v xml:space="preserve"> </v>
      </c>
      <c r="AD21" s="160" t="str">
        <f t="shared" si="1"/>
        <v/>
      </c>
      <c r="AE21" s="161" t="str">
        <f>IFERROR(VLOOKUP(AD21,'FE Movilidad'!$E$6:$G$66,2,FALSE)," ")</f>
        <v xml:space="preserve"> </v>
      </c>
      <c r="AF21" s="161" t="str">
        <f t="shared" si="2"/>
        <v xml:space="preserve"> </v>
      </c>
    </row>
    <row r="22" spans="2:32" x14ac:dyDescent="0.3">
      <c r="B22" s="103">
        <v>13</v>
      </c>
      <c r="C22" s="35"/>
      <c r="D22" s="35"/>
      <c r="E22" s="35"/>
      <c r="F22" s="35"/>
      <c r="G22" s="35"/>
      <c r="H22" s="35"/>
      <c r="I22" s="35"/>
      <c r="J22" s="35"/>
      <c r="K22" s="35"/>
      <c r="L22" s="35"/>
      <c r="M22" s="35"/>
      <c r="N22" s="35"/>
      <c r="O22" s="35"/>
      <c r="P22" s="35"/>
      <c r="Z22" s="160" t="str">
        <f>IFERROR((VLOOKUP(E22,'FE Movilidad'!$B$73:$D$80,2,FALSE))*'Mov. artistas'!F22," ")</f>
        <v xml:space="preserve"> </v>
      </c>
      <c r="AA22" s="160">
        <f>IFERROR(G22*'FE Movilidad'!$E$140," ")</f>
        <v>0</v>
      </c>
      <c r="AB22" s="160" t="str">
        <f t="shared" si="0"/>
        <v/>
      </c>
      <c r="AC22" s="160" t="str">
        <f>IFERROR(VLOOKUP(AB22,'FE Movilidad'!$E$123:$G$134,3,FALSE)*'Mov. artistas'!J22," ")</f>
        <v xml:space="preserve"> </v>
      </c>
      <c r="AD22" s="160" t="str">
        <f t="shared" si="1"/>
        <v/>
      </c>
      <c r="AE22" s="161" t="str">
        <f>IFERROR(VLOOKUP(AD22,'FE Movilidad'!$E$6:$G$66,2,FALSE)," ")</f>
        <v xml:space="preserve"> </v>
      </c>
      <c r="AF22" s="161" t="str">
        <f t="shared" si="2"/>
        <v xml:space="preserve"> </v>
      </c>
    </row>
    <row r="23" spans="2:32" x14ac:dyDescent="0.3">
      <c r="B23" s="103">
        <v>14</v>
      </c>
      <c r="C23" s="35"/>
      <c r="D23" s="35"/>
      <c r="E23" s="35"/>
      <c r="F23" s="35"/>
      <c r="G23" s="35"/>
      <c r="H23" s="35"/>
      <c r="I23" s="35"/>
      <c r="J23" s="35"/>
      <c r="K23" s="35"/>
      <c r="L23" s="35"/>
      <c r="M23" s="35"/>
      <c r="N23" s="35"/>
      <c r="O23" s="35"/>
      <c r="P23" s="35"/>
      <c r="Z23" s="160" t="str">
        <f>IFERROR((VLOOKUP(E23,'FE Movilidad'!$B$73:$D$80,2,FALSE))*'Mov. artistas'!F23," ")</f>
        <v xml:space="preserve"> </v>
      </c>
      <c r="AA23" s="160">
        <f>IFERROR(G23*'FE Movilidad'!$E$140," ")</f>
        <v>0</v>
      </c>
      <c r="AB23" s="160" t="str">
        <f t="shared" si="0"/>
        <v/>
      </c>
      <c r="AC23" s="160" t="str">
        <f>IFERROR(VLOOKUP(AB23,'FE Movilidad'!$E$123:$G$134,3,FALSE)*'Mov. artistas'!J23," ")</f>
        <v xml:space="preserve"> </v>
      </c>
      <c r="AD23" s="160" t="str">
        <f t="shared" si="1"/>
        <v/>
      </c>
      <c r="AE23" s="161" t="str">
        <f>IFERROR(VLOOKUP(AD23,'FE Movilidad'!$E$6:$G$66,2,FALSE)," ")</f>
        <v xml:space="preserve"> </v>
      </c>
      <c r="AF23" s="161" t="str">
        <f t="shared" si="2"/>
        <v xml:space="preserve"> </v>
      </c>
    </row>
    <row r="24" spans="2:32" x14ac:dyDescent="0.3">
      <c r="B24" s="103">
        <v>15</v>
      </c>
      <c r="C24" s="35"/>
      <c r="D24" s="35"/>
      <c r="E24" s="35"/>
      <c r="F24" s="35"/>
      <c r="G24" s="35"/>
      <c r="H24" s="35"/>
      <c r="I24" s="35"/>
      <c r="J24" s="35"/>
      <c r="K24" s="35"/>
      <c r="L24" s="35"/>
      <c r="M24" s="35"/>
      <c r="N24" s="35"/>
      <c r="O24" s="35"/>
      <c r="P24" s="35"/>
      <c r="Z24" s="160" t="str">
        <f>IFERROR((VLOOKUP(E24,'FE Movilidad'!$B$73:$D$80,2,FALSE))*'Mov. artistas'!F24," ")</f>
        <v xml:space="preserve"> </v>
      </c>
      <c r="AA24" s="160">
        <f>IFERROR(G24*'FE Movilidad'!$E$140," ")</f>
        <v>0</v>
      </c>
      <c r="AB24" s="160" t="str">
        <f t="shared" si="0"/>
        <v/>
      </c>
      <c r="AC24" s="160" t="str">
        <f>IFERROR(VLOOKUP(AB24,'FE Movilidad'!$E$123:$G$134,3,FALSE)*'Mov. artistas'!J24," ")</f>
        <v xml:space="preserve"> </v>
      </c>
      <c r="AD24" s="160" t="str">
        <f t="shared" si="1"/>
        <v/>
      </c>
      <c r="AE24" s="161" t="str">
        <f>IFERROR(VLOOKUP(AD24,'FE Movilidad'!$E$6:$G$66,2,FALSE)," ")</f>
        <v xml:space="preserve"> </v>
      </c>
      <c r="AF24" s="161" t="str">
        <f t="shared" si="2"/>
        <v xml:space="preserve"> </v>
      </c>
    </row>
    <row r="25" spans="2:32" x14ac:dyDescent="0.3">
      <c r="B25" s="103">
        <v>16</v>
      </c>
      <c r="C25" s="35"/>
      <c r="D25" s="35"/>
      <c r="E25" s="35"/>
      <c r="F25" s="35"/>
      <c r="G25" s="35"/>
      <c r="H25" s="35"/>
      <c r="I25" s="35"/>
      <c r="J25" s="35"/>
      <c r="K25" s="35"/>
      <c r="L25" s="35"/>
      <c r="M25" s="35"/>
      <c r="N25" s="35"/>
      <c r="O25" s="35"/>
      <c r="P25" s="35"/>
      <c r="Z25" s="160" t="str">
        <f>IFERROR((VLOOKUP(E25,'FE Movilidad'!$B$73:$D$80,2,FALSE))*'Mov. artistas'!F25," ")</f>
        <v xml:space="preserve"> </v>
      </c>
      <c r="AA25" s="160">
        <f>IFERROR(G25*'FE Movilidad'!$E$140," ")</f>
        <v>0</v>
      </c>
      <c r="AB25" s="160" t="str">
        <f t="shared" si="0"/>
        <v/>
      </c>
      <c r="AC25" s="160" t="str">
        <f>IFERROR(VLOOKUP(AB25,'FE Movilidad'!$E$123:$G$134,3,FALSE)*'Mov. artistas'!J25," ")</f>
        <v xml:space="preserve"> </v>
      </c>
      <c r="AD25" s="160" t="str">
        <f t="shared" si="1"/>
        <v/>
      </c>
      <c r="AE25" s="161" t="str">
        <f>IFERROR(VLOOKUP(AD25,'FE Movilidad'!$E$6:$G$66,2,FALSE)," ")</f>
        <v xml:space="preserve"> </v>
      </c>
      <c r="AF25" s="161" t="str">
        <f t="shared" si="2"/>
        <v xml:space="preserve"> </v>
      </c>
    </row>
    <row r="26" spans="2:32" x14ac:dyDescent="0.3">
      <c r="B26" s="103">
        <v>17</v>
      </c>
      <c r="C26" s="35"/>
      <c r="D26" s="35"/>
      <c r="E26" s="35"/>
      <c r="F26" s="35"/>
      <c r="G26" s="35"/>
      <c r="H26" s="35"/>
      <c r="I26" s="35"/>
      <c r="J26" s="35"/>
      <c r="K26" s="35"/>
      <c r="L26" s="35"/>
      <c r="M26" s="35"/>
      <c r="N26" s="35"/>
      <c r="O26" s="35"/>
      <c r="P26" s="35"/>
      <c r="Z26" s="160" t="str">
        <f>IFERROR((VLOOKUP(E26,'FE Movilidad'!$B$73:$D$80,2,FALSE))*'Mov. artistas'!F26," ")</f>
        <v xml:space="preserve"> </v>
      </c>
      <c r="AA26" s="160">
        <f>IFERROR(G26*'FE Movilidad'!$E$140," ")</f>
        <v>0</v>
      </c>
      <c r="AB26" s="160" t="str">
        <f t="shared" si="0"/>
        <v/>
      </c>
      <c r="AC26" s="160" t="str">
        <f>IFERROR(VLOOKUP(AB26,'FE Movilidad'!$E$123:$G$134,3,FALSE)*'Mov. artistas'!J26," ")</f>
        <v xml:space="preserve"> </v>
      </c>
      <c r="AD26" s="160" t="str">
        <f t="shared" si="1"/>
        <v/>
      </c>
      <c r="AE26" s="161" t="str">
        <f>IFERROR(VLOOKUP(AD26,'FE Movilidad'!$E$6:$G$66,2,FALSE)," ")</f>
        <v xml:space="preserve"> </v>
      </c>
      <c r="AF26" s="161" t="str">
        <f t="shared" si="2"/>
        <v xml:space="preserve"> </v>
      </c>
    </row>
    <row r="27" spans="2:32" x14ac:dyDescent="0.3">
      <c r="B27" s="103">
        <v>18</v>
      </c>
      <c r="C27" s="35"/>
      <c r="D27" s="35"/>
      <c r="E27" s="35"/>
      <c r="F27" s="35"/>
      <c r="G27" s="35"/>
      <c r="H27" s="35"/>
      <c r="I27" s="35"/>
      <c r="J27" s="35"/>
      <c r="K27" s="35"/>
      <c r="L27" s="35"/>
      <c r="M27" s="35"/>
      <c r="N27" s="35"/>
      <c r="O27" s="35"/>
      <c r="P27" s="35"/>
      <c r="Z27" s="160" t="str">
        <f>IFERROR((VLOOKUP(E27,'FE Movilidad'!$B$73:$D$80,2,FALSE))*'Mov. artistas'!F27," ")</f>
        <v xml:space="preserve"> </v>
      </c>
      <c r="AA27" s="160">
        <f>IFERROR(G27*'FE Movilidad'!$E$140," ")</f>
        <v>0</v>
      </c>
      <c r="AB27" s="160" t="str">
        <f t="shared" si="0"/>
        <v/>
      </c>
      <c r="AC27" s="160" t="str">
        <f>IFERROR(VLOOKUP(AB27,'FE Movilidad'!$E$123:$G$134,3,FALSE)*'Mov. artistas'!J27," ")</f>
        <v xml:space="preserve"> </v>
      </c>
      <c r="AD27" s="160" t="str">
        <f t="shared" si="1"/>
        <v/>
      </c>
      <c r="AE27" s="161" t="str">
        <f>IFERROR(VLOOKUP(AD27,'FE Movilidad'!$E$6:$G$66,2,FALSE)," ")</f>
        <v xml:space="preserve"> </v>
      </c>
      <c r="AF27" s="161" t="str">
        <f t="shared" si="2"/>
        <v xml:space="preserve"> </v>
      </c>
    </row>
    <row r="28" spans="2:32" x14ac:dyDescent="0.3">
      <c r="B28" s="103">
        <v>19</v>
      </c>
      <c r="C28" s="35"/>
      <c r="D28" s="35"/>
      <c r="E28" s="35"/>
      <c r="F28" s="35"/>
      <c r="G28" s="35"/>
      <c r="H28" s="35"/>
      <c r="I28" s="35"/>
      <c r="J28" s="35"/>
      <c r="K28" s="35"/>
      <c r="L28" s="35"/>
      <c r="M28" s="35"/>
      <c r="N28" s="35"/>
      <c r="O28" s="35"/>
      <c r="P28" s="35"/>
      <c r="Z28" s="160" t="str">
        <f>IFERROR((VLOOKUP(E28,'FE Movilidad'!$B$73:$D$80,2,FALSE))*'Mov. artistas'!F28," ")</f>
        <v xml:space="preserve"> </v>
      </c>
      <c r="AA28" s="160">
        <f>IFERROR(G28*'FE Movilidad'!$E$140," ")</f>
        <v>0</v>
      </c>
      <c r="AB28" s="160" t="str">
        <f t="shared" si="0"/>
        <v/>
      </c>
      <c r="AC28" s="160" t="str">
        <f>IFERROR(VLOOKUP(AB28,'FE Movilidad'!$E$123:$G$134,3,FALSE)*'Mov. artistas'!J28," ")</f>
        <v xml:space="preserve"> </v>
      </c>
      <c r="AD28" s="160" t="str">
        <f t="shared" si="1"/>
        <v/>
      </c>
      <c r="AE28" s="161" t="str">
        <f>IFERROR(VLOOKUP(AD28,'FE Movilidad'!$E$6:$G$66,2,FALSE)," ")</f>
        <v xml:space="preserve"> </v>
      </c>
      <c r="AF28" s="161" t="str">
        <f t="shared" si="2"/>
        <v xml:space="preserve"> </v>
      </c>
    </row>
    <row r="29" spans="2:32" x14ac:dyDescent="0.3">
      <c r="B29" s="103">
        <v>20</v>
      </c>
      <c r="C29" s="35"/>
      <c r="D29" s="35"/>
      <c r="E29" s="35"/>
      <c r="F29" s="35"/>
      <c r="G29" s="35"/>
      <c r="H29" s="35"/>
      <c r="I29" s="35"/>
      <c r="J29" s="35"/>
      <c r="K29" s="35"/>
      <c r="L29" s="35"/>
      <c r="M29" s="35"/>
      <c r="N29" s="35"/>
      <c r="O29" s="35"/>
      <c r="P29" s="35"/>
      <c r="Z29" s="160" t="str">
        <f>IFERROR((VLOOKUP(E29,'FE Movilidad'!$B$73:$D$80,2,FALSE))*'Mov. artistas'!F29," ")</f>
        <v xml:space="preserve"> </v>
      </c>
      <c r="AA29" s="160">
        <f>IFERROR(G29*'FE Movilidad'!$E$140," ")</f>
        <v>0</v>
      </c>
      <c r="AB29" s="160" t="str">
        <f t="shared" si="0"/>
        <v/>
      </c>
      <c r="AC29" s="160" t="str">
        <f>IFERROR(VLOOKUP(AB29,'FE Movilidad'!$E$123:$G$134,3,FALSE)*'Mov. artistas'!J29," ")</f>
        <v xml:space="preserve"> </v>
      </c>
      <c r="AD29" s="160" t="str">
        <f t="shared" si="1"/>
        <v/>
      </c>
      <c r="AE29" s="161" t="str">
        <f>IFERROR(VLOOKUP(AD29,'FE Movilidad'!$E$6:$G$66,2,FALSE)," ")</f>
        <v xml:space="preserve"> </v>
      </c>
      <c r="AF29" s="161" t="str">
        <f t="shared" si="2"/>
        <v xml:space="preserve"> </v>
      </c>
    </row>
    <row r="30" spans="2:32" x14ac:dyDescent="0.3">
      <c r="B30" s="103">
        <v>21</v>
      </c>
      <c r="C30" s="35"/>
      <c r="D30" s="35"/>
      <c r="E30" s="35"/>
      <c r="F30" s="35"/>
      <c r="G30" s="35"/>
      <c r="H30" s="35"/>
      <c r="I30" s="35"/>
      <c r="J30" s="35"/>
      <c r="K30" s="35"/>
      <c r="L30" s="35"/>
      <c r="M30" s="35"/>
      <c r="N30" s="35"/>
      <c r="O30" s="35"/>
      <c r="P30" s="35"/>
      <c r="Z30" s="160" t="str">
        <f>IFERROR((VLOOKUP(E30,'FE Movilidad'!$B$73:$D$80,2,FALSE))*'Mov. artistas'!F30," ")</f>
        <v xml:space="preserve"> </v>
      </c>
      <c r="AA30" s="160">
        <f>IFERROR(G30*'FE Movilidad'!$E$140," ")</f>
        <v>0</v>
      </c>
      <c r="AB30" s="160" t="str">
        <f t="shared" si="0"/>
        <v/>
      </c>
      <c r="AC30" s="160" t="str">
        <f>IFERROR(VLOOKUP(AB30,'FE Movilidad'!$E$123:$G$134,3,FALSE)*'Mov. artistas'!J30," ")</f>
        <v xml:space="preserve"> </v>
      </c>
      <c r="AD30" s="160" t="str">
        <f t="shared" si="1"/>
        <v/>
      </c>
      <c r="AE30" s="161" t="str">
        <f>IFERROR(VLOOKUP(AD30,'FE Movilidad'!$E$6:$G$66,2,FALSE)," ")</f>
        <v xml:space="preserve"> </v>
      </c>
      <c r="AF30" s="161" t="str">
        <f t="shared" si="2"/>
        <v xml:space="preserve"> </v>
      </c>
    </row>
    <row r="31" spans="2:32" x14ac:dyDescent="0.3">
      <c r="B31" s="103">
        <v>22</v>
      </c>
      <c r="C31" s="35"/>
      <c r="D31" s="35"/>
      <c r="E31" s="35"/>
      <c r="F31" s="35"/>
      <c r="G31" s="35"/>
      <c r="H31" s="35"/>
      <c r="I31" s="35"/>
      <c r="J31" s="35"/>
      <c r="K31" s="35"/>
      <c r="L31" s="35"/>
      <c r="M31" s="35"/>
      <c r="N31" s="35"/>
      <c r="O31" s="35"/>
      <c r="P31" s="35"/>
      <c r="Z31" s="160" t="str">
        <f>IFERROR((VLOOKUP(E31,'FE Movilidad'!$B$73:$D$80,2,FALSE))*'Mov. artistas'!F31," ")</f>
        <v xml:space="preserve"> </v>
      </c>
      <c r="AA31" s="160">
        <f>IFERROR(G31*'FE Movilidad'!$E$140," ")</f>
        <v>0</v>
      </c>
      <c r="AB31" s="160" t="str">
        <f t="shared" si="0"/>
        <v/>
      </c>
      <c r="AC31" s="160" t="str">
        <f>IFERROR(VLOOKUP(AB31,'FE Movilidad'!$E$123:$G$134,3,FALSE)*'Mov. artistas'!J31," ")</f>
        <v xml:space="preserve"> </v>
      </c>
      <c r="AD31" s="160" t="str">
        <f t="shared" si="1"/>
        <v/>
      </c>
      <c r="AE31" s="161" t="str">
        <f>IFERROR(VLOOKUP(AD31,'FE Movilidad'!$E$6:$G$66,2,FALSE)," ")</f>
        <v xml:space="preserve"> </v>
      </c>
      <c r="AF31" s="161" t="str">
        <f t="shared" si="2"/>
        <v xml:space="preserve"> </v>
      </c>
    </row>
    <row r="32" spans="2:32" x14ac:dyDescent="0.3">
      <c r="B32" s="103">
        <v>23</v>
      </c>
      <c r="C32" s="35"/>
      <c r="D32" s="35"/>
      <c r="E32" s="35"/>
      <c r="F32" s="35"/>
      <c r="G32" s="35"/>
      <c r="H32" s="35"/>
      <c r="I32" s="35"/>
      <c r="J32" s="35"/>
      <c r="K32" s="35"/>
      <c r="L32" s="35"/>
      <c r="M32" s="35"/>
      <c r="N32" s="35"/>
      <c r="O32" s="35"/>
      <c r="P32" s="35"/>
      <c r="Z32" s="160" t="str">
        <f>IFERROR((VLOOKUP(E32,'FE Movilidad'!$B$73:$D$80,2,FALSE))*'Mov. artistas'!F32," ")</f>
        <v xml:space="preserve"> </v>
      </c>
      <c r="AA32" s="160">
        <f>IFERROR(G32*'FE Movilidad'!$E$140," ")</f>
        <v>0</v>
      </c>
      <c r="AB32" s="160" t="str">
        <f t="shared" si="0"/>
        <v/>
      </c>
      <c r="AC32" s="160" t="str">
        <f>IFERROR(VLOOKUP(AB32,'FE Movilidad'!$E$123:$G$134,3,FALSE)*'Mov. artistas'!J32," ")</f>
        <v xml:space="preserve"> </v>
      </c>
      <c r="AD32" s="160" t="str">
        <f t="shared" si="1"/>
        <v/>
      </c>
      <c r="AE32" s="161" t="str">
        <f>IFERROR(VLOOKUP(AD32,'FE Movilidad'!$E$6:$G$66,2,FALSE)," ")</f>
        <v xml:space="preserve"> </v>
      </c>
      <c r="AF32" s="161" t="str">
        <f t="shared" si="2"/>
        <v xml:space="preserve"> </v>
      </c>
    </row>
    <row r="33" spans="2:32" x14ac:dyDescent="0.3">
      <c r="B33" s="103">
        <v>24</v>
      </c>
      <c r="C33" s="35"/>
      <c r="D33" s="35"/>
      <c r="E33" s="35"/>
      <c r="F33" s="35"/>
      <c r="G33" s="35"/>
      <c r="H33" s="35"/>
      <c r="I33" s="35"/>
      <c r="J33" s="35"/>
      <c r="K33" s="35"/>
      <c r="L33" s="35"/>
      <c r="M33" s="35"/>
      <c r="N33" s="35"/>
      <c r="O33" s="35"/>
      <c r="P33" s="35"/>
      <c r="Z33" s="160" t="str">
        <f>IFERROR((VLOOKUP(E33,'FE Movilidad'!$B$73:$D$80,2,FALSE))*'Mov. artistas'!F33," ")</f>
        <v xml:space="preserve"> </v>
      </c>
      <c r="AA33" s="160">
        <f>IFERROR(G33*'FE Movilidad'!$E$140," ")</f>
        <v>0</v>
      </c>
      <c r="AB33" s="160" t="str">
        <f t="shared" si="0"/>
        <v/>
      </c>
      <c r="AC33" s="160" t="str">
        <f>IFERROR(VLOOKUP(AB33,'FE Movilidad'!$E$123:$G$134,3,FALSE)*'Mov. artistas'!J33," ")</f>
        <v xml:space="preserve"> </v>
      </c>
      <c r="AD33" s="160" t="str">
        <f t="shared" si="1"/>
        <v/>
      </c>
      <c r="AE33" s="161" t="str">
        <f>IFERROR(VLOOKUP(AD33,'FE Movilidad'!$E$6:$G$66,2,FALSE)," ")</f>
        <v xml:space="preserve"> </v>
      </c>
      <c r="AF33" s="161" t="str">
        <f t="shared" si="2"/>
        <v xml:space="preserve"> </v>
      </c>
    </row>
    <row r="34" spans="2:32" x14ac:dyDescent="0.3">
      <c r="B34" s="103">
        <v>25</v>
      </c>
      <c r="C34" s="35"/>
      <c r="D34" s="35"/>
      <c r="E34" s="35"/>
      <c r="F34" s="35"/>
      <c r="G34" s="35"/>
      <c r="H34" s="35"/>
      <c r="I34" s="35"/>
      <c r="J34" s="35"/>
      <c r="K34" s="35"/>
      <c r="L34" s="35"/>
      <c r="M34" s="35"/>
      <c r="N34" s="35"/>
      <c r="O34" s="35"/>
      <c r="P34" s="35"/>
      <c r="Z34" s="160" t="str">
        <f>IFERROR((VLOOKUP(E34,'FE Movilidad'!$B$73:$D$80,2,FALSE))*'Mov. artistas'!F34," ")</f>
        <v xml:space="preserve"> </v>
      </c>
      <c r="AA34" s="160">
        <f>IFERROR(G34*'FE Movilidad'!$E$140," ")</f>
        <v>0</v>
      </c>
      <c r="AB34" s="160" t="str">
        <f t="shared" si="0"/>
        <v/>
      </c>
      <c r="AC34" s="160" t="str">
        <f>IFERROR(VLOOKUP(AB34,'FE Movilidad'!$E$123:$G$134,3,FALSE)*'Mov. artistas'!J34," ")</f>
        <v xml:space="preserve"> </v>
      </c>
      <c r="AD34" s="160" t="str">
        <f t="shared" si="1"/>
        <v/>
      </c>
      <c r="AE34" s="161" t="str">
        <f>IFERROR(VLOOKUP(AD34,'FE Movilidad'!$E$6:$G$66,2,FALSE)," ")</f>
        <v xml:space="preserve"> </v>
      </c>
      <c r="AF34" s="161" t="str">
        <f t="shared" si="2"/>
        <v xml:space="preserve"> </v>
      </c>
    </row>
    <row r="35" spans="2:32" ht="14.4" customHeight="1" x14ac:dyDescent="0.3">
      <c r="B35" s="103">
        <v>26</v>
      </c>
      <c r="C35" s="35"/>
      <c r="D35" s="35"/>
      <c r="E35" s="35"/>
      <c r="F35" s="35"/>
      <c r="G35" s="35"/>
      <c r="H35" s="35"/>
      <c r="I35" s="35"/>
      <c r="J35" s="35"/>
      <c r="K35" s="35"/>
      <c r="L35" s="35"/>
      <c r="M35" s="35"/>
      <c r="N35" s="35"/>
      <c r="O35" s="35"/>
      <c r="P35" s="35"/>
      <c r="Z35" s="160" t="str">
        <f>IFERROR((VLOOKUP(E35,'FE Movilidad'!$B$73:$D$80,2,FALSE))*'Mov. artistas'!F35," ")</f>
        <v xml:space="preserve"> </v>
      </c>
      <c r="AA35" s="160">
        <f>IFERROR(G35*'FE Movilidad'!$E$140," ")</f>
        <v>0</v>
      </c>
      <c r="AB35" s="160" t="str">
        <f t="shared" si="0"/>
        <v/>
      </c>
      <c r="AC35" s="160" t="str">
        <f>IFERROR(VLOOKUP(AB35,'FE Movilidad'!$E$123:$G$134,3,FALSE)*'Mov. artistas'!J35," ")</f>
        <v xml:space="preserve"> </v>
      </c>
      <c r="AD35" s="160" t="str">
        <f t="shared" si="1"/>
        <v/>
      </c>
      <c r="AE35" s="161" t="str">
        <f>IFERROR(VLOOKUP(AD35,'FE Movilidad'!$E$6:$G$66,2,FALSE)," ")</f>
        <v xml:space="preserve"> </v>
      </c>
      <c r="AF35" s="161" t="str">
        <f t="shared" si="2"/>
        <v xml:space="preserve"> </v>
      </c>
    </row>
    <row r="36" spans="2:32" x14ac:dyDescent="0.3">
      <c r="B36" s="103">
        <v>27</v>
      </c>
      <c r="C36" s="35"/>
      <c r="D36" s="35"/>
      <c r="E36" s="35"/>
      <c r="F36" s="35"/>
      <c r="G36" s="35"/>
      <c r="H36" s="35"/>
      <c r="I36" s="35"/>
      <c r="J36" s="35"/>
      <c r="K36" s="35"/>
      <c r="L36" s="35"/>
      <c r="M36" s="35"/>
      <c r="N36" s="35"/>
      <c r="O36" s="35"/>
      <c r="P36" s="35"/>
      <c r="Z36" s="160" t="str">
        <f>IFERROR((VLOOKUP(E36,'FE Movilidad'!$B$73:$D$80,2,FALSE))*'Mov. artistas'!F36," ")</f>
        <v xml:space="preserve"> </v>
      </c>
      <c r="AA36" s="160">
        <f>IFERROR(G36*'FE Movilidad'!$E$140," ")</f>
        <v>0</v>
      </c>
      <c r="AB36" s="160" t="str">
        <f t="shared" si="0"/>
        <v/>
      </c>
      <c r="AC36" s="160" t="str">
        <f>IFERROR(VLOOKUP(AB36,'FE Movilidad'!$E$123:$G$134,3,FALSE)*'Mov. artistas'!J36," ")</f>
        <v xml:space="preserve"> </v>
      </c>
      <c r="AD36" s="160" t="str">
        <f t="shared" si="1"/>
        <v/>
      </c>
      <c r="AE36" s="161" t="str">
        <f>IFERROR(VLOOKUP(AD36,'FE Movilidad'!$E$6:$G$66,2,FALSE)," ")</f>
        <v xml:space="preserve"> </v>
      </c>
      <c r="AF36" s="161" t="str">
        <f t="shared" si="2"/>
        <v xml:space="preserve"> </v>
      </c>
    </row>
    <row r="37" spans="2:32" x14ac:dyDescent="0.3">
      <c r="B37" s="103">
        <v>28</v>
      </c>
      <c r="C37" s="35"/>
      <c r="D37" s="35"/>
      <c r="E37" s="35"/>
      <c r="F37" s="35"/>
      <c r="G37" s="35"/>
      <c r="H37" s="35"/>
      <c r="I37" s="35"/>
      <c r="J37" s="35"/>
      <c r="K37" s="35"/>
      <c r="L37" s="35"/>
      <c r="M37" s="35"/>
      <c r="N37" s="35"/>
      <c r="O37" s="35"/>
      <c r="P37" s="35"/>
      <c r="Z37" s="160" t="str">
        <f>IFERROR((VLOOKUP(E37,'FE Movilidad'!$B$73:$D$80,2,FALSE))*'Mov. artistas'!F37," ")</f>
        <v xml:space="preserve"> </v>
      </c>
      <c r="AA37" s="160">
        <f>IFERROR(G37*'FE Movilidad'!$E$140," ")</f>
        <v>0</v>
      </c>
      <c r="AB37" s="160" t="str">
        <f t="shared" si="0"/>
        <v/>
      </c>
      <c r="AC37" s="160" t="str">
        <f>IFERROR(VLOOKUP(AB37,'FE Movilidad'!$E$123:$G$134,3,FALSE)*'Mov. artistas'!J37," ")</f>
        <v xml:space="preserve"> </v>
      </c>
      <c r="AD37" s="160" t="str">
        <f t="shared" si="1"/>
        <v/>
      </c>
      <c r="AE37" s="161" t="str">
        <f>IFERROR(VLOOKUP(AD37,'FE Movilidad'!$E$6:$G$66,2,FALSE)," ")</f>
        <v xml:space="preserve"> </v>
      </c>
      <c r="AF37" s="161" t="str">
        <f t="shared" si="2"/>
        <v xml:space="preserve"> </v>
      </c>
    </row>
    <row r="38" spans="2:32" x14ac:dyDescent="0.3">
      <c r="B38" s="103">
        <v>29</v>
      </c>
      <c r="C38" s="35"/>
      <c r="D38" s="35"/>
      <c r="E38" s="35"/>
      <c r="F38" s="35"/>
      <c r="G38" s="35"/>
      <c r="H38" s="35"/>
      <c r="I38" s="35"/>
      <c r="J38" s="35"/>
      <c r="K38" s="35"/>
      <c r="L38" s="35"/>
      <c r="M38" s="35"/>
      <c r="N38" s="35"/>
      <c r="O38" s="35"/>
      <c r="P38" s="35"/>
      <c r="Z38" s="160" t="str">
        <f>IFERROR((VLOOKUP(E38,'FE Movilidad'!$B$73:$D$80,2,FALSE))*'Mov. artistas'!F38," ")</f>
        <v xml:space="preserve"> </v>
      </c>
      <c r="AA38" s="160">
        <f>IFERROR(G38*'FE Movilidad'!$E$140," ")</f>
        <v>0</v>
      </c>
      <c r="AB38" s="160" t="str">
        <f t="shared" si="0"/>
        <v/>
      </c>
      <c r="AC38" s="160" t="str">
        <f>IFERROR(VLOOKUP(AB38,'FE Movilidad'!$E$123:$G$134,3,FALSE)*'Mov. artistas'!J38," ")</f>
        <v xml:space="preserve"> </v>
      </c>
      <c r="AD38" s="160" t="str">
        <f t="shared" si="1"/>
        <v/>
      </c>
      <c r="AE38" s="161" t="str">
        <f>IFERROR(VLOOKUP(AD38,'FE Movilidad'!$E$6:$G$66,2,FALSE)," ")</f>
        <v xml:space="preserve"> </v>
      </c>
      <c r="AF38" s="161" t="str">
        <f t="shared" si="2"/>
        <v xml:space="preserve"> </v>
      </c>
    </row>
    <row r="39" spans="2:32" ht="14.4" customHeight="1" x14ac:dyDescent="0.3">
      <c r="B39" s="103">
        <v>30</v>
      </c>
      <c r="C39" s="35"/>
      <c r="D39" s="35"/>
      <c r="E39" s="35"/>
      <c r="F39" s="35"/>
      <c r="G39" s="35"/>
      <c r="H39" s="35"/>
      <c r="I39" s="35"/>
      <c r="J39" s="35"/>
      <c r="K39" s="35"/>
      <c r="L39" s="35"/>
      <c r="M39" s="35"/>
      <c r="N39" s="35"/>
      <c r="O39" s="35"/>
      <c r="P39" s="35"/>
      <c r="Z39" s="160" t="str">
        <f>IFERROR((VLOOKUP(E39,'FE Movilidad'!$B$73:$D$80,2,FALSE))*'Mov. artistas'!F39," ")</f>
        <v xml:space="preserve"> </v>
      </c>
      <c r="AA39" s="160">
        <f>IFERROR(G39*'FE Movilidad'!$E$140," ")</f>
        <v>0</v>
      </c>
      <c r="AB39" s="160" t="str">
        <f t="shared" si="0"/>
        <v/>
      </c>
      <c r="AC39" s="160" t="str">
        <f>IFERROR(VLOOKUP(AB39,'FE Movilidad'!$E$123:$G$134,3,FALSE)*'Mov. artistas'!J39," ")</f>
        <v xml:space="preserve"> </v>
      </c>
      <c r="AD39" s="160" t="str">
        <f t="shared" si="1"/>
        <v/>
      </c>
      <c r="AE39" s="161" t="str">
        <f>IFERROR(VLOOKUP(AD39,'FE Movilidad'!$E$6:$G$66,2,FALSE)," ")</f>
        <v xml:space="preserve"> </v>
      </c>
      <c r="AF39" s="161" t="str">
        <f t="shared" si="2"/>
        <v xml:space="preserve"> </v>
      </c>
    </row>
    <row r="40" spans="2:32" x14ac:dyDescent="0.3">
      <c r="B40" s="103">
        <v>31</v>
      </c>
      <c r="C40" s="35"/>
      <c r="D40" s="35"/>
      <c r="E40" s="35"/>
      <c r="F40" s="35"/>
      <c r="G40" s="35"/>
      <c r="H40" s="35"/>
      <c r="I40" s="35"/>
      <c r="J40" s="35"/>
      <c r="K40" s="35"/>
      <c r="L40" s="35"/>
      <c r="M40" s="35"/>
      <c r="N40" s="35"/>
      <c r="O40" s="35"/>
      <c r="P40" s="35"/>
      <c r="Z40" s="160" t="str">
        <f>IFERROR((VLOOKUP(E40,'FE Movilidad'!$B$73:$D$80,2,FALSE))*'Mov. artistas'!F40," ")</f>
        <v xml:space="preserve"> </v>
      </c>
      <c r="AA40" s="160">
        <f>IFERROR(G40*'FE Movilidad'!$E$140," ")</f>
        <v>0</v>
      </c>
      <c r="AB40" s="160" t="str">
        <f t="shared" si="0"/>
        <v/>
      </c>
      <c r="AC40" s="160" t="str">
        <f>IFERROR(VLOOKUP(AB40,'FE Movilidad'!$E$123:$G$134,3,FALSE)*'Mov. artistas'!J40," ")</f>
        <v xml:space="preserve"> </v>
      </c>
      <c r="AD40" s="160" t="str">
        <f t="shared" si="1"/>
        <v/>
      </c>
      <c r="AE40" s="161" t="str">
        <f>IFERROR(VLOOKUP(AD40,'FE Movilidad'!$E$6:$G$66,2,FALSE)," ")</f>
        <v xml:space="preserve"> </v>
      </c>
      <c r="AF40" s="161" t="str">
        <f t="shared" si="2"/>
        <v xml:space="preserve"> </v>
      </c>
    </row>
    <row r="41" spans="2:32" x14ac:dyDescent="0.3">
      <c r="B41" s="103">
        <v>32</v>
      </c>
      <c r="C41" s="35"/>
      <c r="D41" s="35"/>
      <c r="E41" s="35"/>
      <c r="F41" s="35"/>
      <c r="G41" s="35"/>
      <c r="H41" s="35"/>
      <c r="I41" s="35"/>
      <c r="J41" s="35"/>
      <c r="K41" s="35"/>
      <c r="L41" s="35"/>
      <c r="M41" s="35"/>
      <c r="N41" s="35"/>
      <c r="O41" s="35"/>
      <c r="P41" s="35"/>
      <c r="Z41" s="160" t="str">
        <f>IFERROR((VLOOKUP(E41,'FE Movilidad'!$B$73:$D$80,2,FALSE))*'Mov. artistas'!F41," ")</f>
        <v xml:space="preserve"> </v>
      </c>
      <c r="AA41" s="160">
        <f>IFERROR(G41*'FE Movilidad'!$E$140," ")</f>
        <v>0</v>
      </c>
      <c r="AB41" s="160" t="str">
        <f t="shared" si="0"/>
        <v/>
      </c>
      <c r="AC41" s="160" t="str">
        <f>IFERROR(VLOOKUP(AB41,'FE Movilidad'!$E$123:$G$134,3,FALSE)*'Mov. artistas'!J41," ")</f>
        <v xml:space="preserve"> </v>
      </c>
      <c r="AD41" s="160" t="str">
        <f t="shared" si="1"/>
        <v/>
      </c>
      <c r="AE41" s="161" t="str">
        <f>IFERROR(VLOOKUP(AD41,'FE Movilidad'!$E$6:$G$66,2,FALSE)," ")</f>
        <v xml:space="preserve"> </v>
      </c>
      <c r="AF41" s="161" t="str">
        <f t="shared" si="2"/>
        <v xml:space="preserve"> </v>
      </c>
    </row>
    <row r="42" spans="2:32" x14ac:dyDescent="0.3">
      <c r="B42" s="103">
        <v>33</v>
      </c>
      <c r="C42" s="35"/>
      <c r="D42" s="35"/>
      <c r="E42" s="35"/>
      <c r="F42" s="35"/>
      <c r="G42" s="35"/>
      <c r="H42" s="35"/>
      <c r="I42" s="35"/>
      <c r="J42" s="35"/>
      <c r="K42" s="35"/>
      <c r="L42" s="35"/>
      <c r="M42" s="35"/>
      <c r="N42" s="35"/>
      <c r="O42" s="35"/>
      <c r="P42" s="35"/>
      <c r="Z42" s="160" t="str">
        <f>IFERROR((VLOOKUP(E42,'FE Movilidad'!$B$73:$D$80,2,FALSE))*'Mov. artistas'!F42," ")</f>
        <v xml:space="preserve"> </v>
      </c>
      <c r="AA42" s="160">
        <f>IFERROR(G42*'FE Movilidad'!$E$140," ")</f>
        <v>0</v>
      </c>
      <c r="AB42" s="160" t="str">
        <f t="shared" si="0"/>
        <v/>
      </c>
      <c r="AC42" s="160" t="str">
        <f>IFERROR(VLOOKUP(AB42,'FE Movilidad'!$E$123:$G$134,3,FALSE)*'Mov. artistas'!J42," ")</f>
        <v xml:space="preserve"> </v>
      </c>
      <c r="AD42" s="160" t="str">
        <f t="shared" si="1"/>
        <v/>
      </c>
      <c r="AE42" s="161" t="str">
        <f>IFERROR(VLOOKUP(AD42,'FE Movilidad'!$E$6:$G$66,2,FALSE)," ")</f>
        <v xml:space="preserve"> </v>
      </c>
      <c r="AF42" s="161" t="str">
        <f t="shared" si="2"/>
        <v xml:space="preserve"> </v>
      </c>
    </row>
    <row r="43" spans="2:32" x14ac:dyDescent="0.3">
      <c r="B43" s="103">
        <v>34</v>
      </c>
      <c r="C43" s="35"/>
      <c r="D43" s="35"/>
      <c r="E43" s="35"/>
      <c r="F43" s="35"/>
      <c r="G43" s="35"/>
      <c r="H43" s="35"/>
      <c r="I43" s="35"/>
      <c r="J43" s="35"/>
      <c r="K43" s="35"/>
      <c r="L43" s="35"/>
      <c r="M43" s="35"/>
      <c r="N43" s="35"/>
      <c r="O43" s="35"/>
      <c r="P43" s="35"/>
      <c r="Z43" s="160" t="str">
        <f>IFERROR((VLOOKUP(E43,'FE Movilidad'!$B$73:$D$80,2,FALSE))*'Mov. artistas'!F43," ")</f>
        <v xml:space="preserve"> </v>
      </c>
      <c r="AA43" s="160">
        <f>IFERROR(G43*'FE Movilidad'!$E$140," ")</f>
        <v>0</v>
      </c>
      <c r="AB43" s="160" t="str">
        <f t="shared" si="0"/>
        <v/>
      </c>
      <c r="AC43" s="160" t="str">
        <f>IFERROR(VLOOKUP(AB43,'FE Movilidad'!$E$123:$G$134,3,FALSE)*'Mov. artistas'!J43," ")</f>
        <v xml:space="preserve"> </v>
      </c>
      <c r="AD43" s="160" t="str">
        <f t="shared" si="1"/>
        <v/>
      </c>
      <c r="AE43" s="161" t="str">
        <f>IFERROR(VLOOKUP(AD43,'FE Movilidad'!$E$6:$G$66,2,FALSE)," ")</f>
        <v xml:space="preserve"> </v>
      </c>
      <c r="AF43" s="161" t="str">
        <f t="shared" si="2"/>
        <v xml:space="preserve"> </v>
      </c>
    </row>
    <row r="44" spans="2:32" x14ac:dyDescent="0.3">
      <c r="B44" s="103">
        <v>35</v>
      </c>
      <c r="C44" s="35"/>
      <c r="D44" s="35"/>
      <c r="E44" s="35"/>
      <c r="F44" s="35"/>
      <c r="G44" s="35"/>
      <c r="H44" s="35"/>
      <c r="I44" s="35"/>
      <c r="J44" s="35"/>
      <c r="K44" s="35"/>
      <c r="L44" s="35"/>
      <c r="M44" s="35"/>
      <c r="N44" s="35"/>
      <c r="O44" s="35"/>
      <c r="P44" s="35"/>
      <c r="Z44" s="160" t="str">
        <f>IFERROR((VLOOKUP(E44,'FE Movilidad'!$B$73:$D$80,2,FALSE))*'Mov. artistas'!F44," ")</f>
        <v xml:space="preserve"> </v>
      </c>
      <c r="AA44" s="160">
        <f>IFERROR(G44*'FE Movilidad'!$E$140," ")</f>
        <v>0</v>
      </c>
      <c r="AB44" s="160" t="str">
        <f t="shared" si="0"/>
        <v/>
      </c>
      <c r="AC44" s="160" t="str">
        <f>IFERROR(VLOOKUP(AB44,'FE Movilidad'!$E$123:$G$134,3,FALSE)*'Mov. artistas'!J44," ")</f>
        <v xml:space="preserve"> </v>
      </c>
      <c r="AD44" s="160" t="str">
        <f t="shared" si="1"/>
        <v/>
      </c>
      <c r="AE44" s="161" t="str">
        <f>IFERROR(VLOOKUP(AD44,'FE Movilidad'!$E$6:$G$66,2,FALSE)," ")</f>
        <v xml:space="preserve"> </v>
      </c>
      <c r="AF44" s="161" t="str">
        <f t="shared" si="2"/>
        <v xml:space="preserve"> </v>
      </c>
    </row>
    <row r="45" spans="2:32" x14ac:dyDescent="0.3">
      <c r="B45" s="103">
        <v>36</v>
      </c>
      <c r="C45" s="35"/>
      <c r="D45" s="35"/>
      <c r="E45" s="35"/>
      <c r="F45" s="35"/>
      <c r="G45" s="35"/>
      <c r="H45" s="35"/>
      <c r="I45" s="35"/>
      <c r="J45" s="35"/>
      <c r="K45" s="35"/>
      <c r="L45" s="35"/>
      <c r="M45" s="35"/>
      <c r="N45" s="35"/>
      <c r="O45" s="35"/>
      <c r="P45" s="35"/>
      <c r="Z45" s="160" t="str">
        <f>IFERROR((VLOOKUP(E45,'FE Movilidad'!$B$73:$D$80,2,FALSE))*'Mov. artistas'!F45," ")</f>
        <v xml:space="preserve"> </v>
      </c>
      <c r="AA45" s="160">
        <f>IFERROR(G45*'FE Movilidad'!$E$140," ")</f>
        <v>0</v>
      </c>
      <c r="AB45" s="160" t="str">
        <f t="shared" si="0"/>
        <v/>
      </c>
      <c r="AC45" s="160" t="str">
        <f>IFERROR(VLOOKUP(AB45,'FE Movilidad'!$E$123:$G$134,3,FALSE)*'Mov. artistas'!J45," ")</f>
        <v xml:space="preserve"> </v>
      </c>
      <c r="AD45" s="160" t="str">
        <f t="shared" si="1"/>
        <v/>
      </c>
      <c r="AE45" s="161" t="str">
        <f>IFERROR(VLOOKUP(AD45,'FE Movilidad'!$E$6:$G$66,2,FALSE)," ")</f>
        <v xml:space="preserve"> </v>
      </c>
      <c r="AF45" s="161" t="str">
        <f t="shared" si="2"/>
        <v xml:space="preserve"> </v>
      </c>
    </row>
    <row r="46" spans="2:32" x14ac:dyDescent="0.3">
      <c r="B46" s="103">
        <v>37</v>
      </c>
      <c r="C46" s="35"/>
      <c r="D46" s="35"/>
      <c r="E46" s="35"/>
      <c r="F46" s="35"/>
      <c r="G46" s="35"/>
      <c r="H46" s="35"/>
      <c r="I46" s="35"/>
      <c r="J46" s="35"/>
      <c r="K46" s="35"/>
      <c r="L46" s="35"/>
      <c r="M46" s="35"/>
      <c r="N46" s="35"/>
      <c r="O46" s="35"/>
      <c r="P46" s="35"/>
      <c r="Z46" s="160" t="str">
        <f>IFERROR((VLOOKUP(E46,'FE Movilidad'!$B$73:$D$80,2,FALSE))*'Mov. artistas'!F46," ")</f>
        <v xml:space="preserve"> </v>
      </c>
      <c r="AA46" s="160">
        <f>IFERROR(G46*'FE Movilidad'!$E$140," ")</f>
        <v>0</v>
      </c>
      <c r="AB46" s="160" t="str">
        <f t="shared" si="0"/>
        <v/>
      </c>
      <c r="AC46" s="160" t="str">
        <f>IFERROR(VLOOKUP(AB46,'FE Movilidad'!$E$123:$G$134,3,FALSE)*'Mov. artistas'!J46," ")</f>
        <v xml:space="preserve"> </v>
      </c>
      <c r="AD46" s="160" t="str">
        <f t="shared" si="1"/>
        <v/>
      </c>
      <c r="AE46" s="161" t="str">
        <f>IFERROR(VLOOKUP(AD46,'FE Movilidad'!$E$6:$G$66,2,FALSE)," ")</f>
        <v xml:space="preserve"> </v>
      </c>
      <c r="AF46" s="161" t="str">
        <f t="shared" si="2"/>
        <v xml:space="preserve"> </v>
      </c>
    </row>
    <row r="47" spans="2:32" x14ac:dyDescent="0.3">
      <c r="B47" s="103">
        <v>38</v>
      </c>
      <c r="C47" s="35"/>
      <c r="D47" s="35"/>
      <c r="E47" s="35"/>
      <c r="F47" s="35"/>
      <c r="G47" s="35"/>
      <c r="H47" s="35"/>
      <c r="I47" s="35"/>
      <c r="J47" s="35"/>
      <c r="K47" s="35"/>
      <c r="L47" s="35"/>
      <c r="M47" s="35"/>
      <c r="N47" s="35"/>
      <c r="O47" s="35"/>
      <c r="P47" s="35"/>
      <c r="Z47" s="160" t="str">
        <f>IFERROR((VLOOKUP(E47,'FE Movilidad'!$B$73:$D$80,2,FALSE))*'Mov. artistas'!F47," ")</f>
        <v xml:space="preserve"> </v>
      </c>
      <c r="AA47" s="160">
        <f>IFERROR(G47*'FE Movilidad'!$E$140," ")</f>
        <v>0</v>
      </c>
      <c r="AB47" s="160" t="str">
        <f t="shared" si="0"/>
        <v/>
      </c>
      <c r="AC47" s="160" t="str">
        <f>IFERROR(VLOOKUP(AB47,'FE Movilidad'!$E$123:$G$134,3,FALSE)*'Mov. artistas'!J47," ")</f>
        <v xml:space="preserve"> </v>
      </c>
      <c r="AD47" s="160" t="str">
        <f t="shared" si="1"/>
        <v/>
      </c>
      <c r="AE47" s="161" t="str">
        <f>IFERROR(VLOOKUP(AD47,'FE Movilidad'!$E$6:$G$66,2,FALSE)," ")</f>
        <v xml:space="preserve"> </v>
      </c>
      <c r="AF47" s="161" t="str">
        <f t="shared" si="2"/>
        <v xml:space="preserve"> </v>
      </c>
    </row>
    <row r="48" spans="2:32" x14ac:dyDescent="0.3">
      <c r="B48" s="103">
        <v>39</v>
      </c>
      <c r="C48" s="35"/>
      <c r="D48" s="35"/>
      <c r="E48" s="35"/>
      <c r="F48" s="35"/>
      <c r="G48" s="35"/>
      <c r="H48" s="35"/>
      <c r="I48" s="35"/>
      <c r="J48" s="35"/>
      <c r="K48" s="35"/>
      <c r="L48" s="35"/>
      <c r="M48" s="35"/>
      <c r="N48" s="35"/>
      <c r="O48" s="35"/>
      <c r="P48" s="35"/>
      <c r="Z48" s="160" t="str">
        <f>IFERROR((VLOOKUP(E48,'FE Movilidad'!$B$73:$D$80,2,FALSE))*'Mov. artistas'!F48," ")</f>
        <v xml:space="preserve"> </v>
      </c>
      <c r="AA48" s="160">
        <f>IFERROR(G48*'FE Movilidad'!$E$140," ")</f>
        <v>0</v>
      </c>
      <c r="AB48" s="160" t="str">
        <f t="shared" si="0"/>
        <v/>
      </c>
      <c r="AC48" s="160" t="str">
        <f>IFERROR(VLOOKUP(AB48,'FE Movilidad'!$E$123:$G$134,3,FALSE)*'Mov. artistas'!J48," ")</f>
        <v xml:space="preserve"> </v>
      </c>
      <c r="AD48" s="160" t="str">
        <f t="shared" si="1"/>
        <v/>
      </c>
      <c r="AE48" s="161" t="str">
        <f>IFERROR(VLOOKUP(AD48,'FE Movilidad'!$E$6:$G$66,2,FALSE)," ")</f>
        <v xml:space="preserve"> </v>
      </c>
      <c r="AF48" s="161" t="str">
        <f t="shared" si="2"/>
        <v xml:space="preserve"> </v>
      </c>
    </row>
    <row r="49" spans="2:32" x14ac:dyDescent="0.3">
      <c r="B49" s="103">
        <v>40</v>
      </c>
      <c r="C49" s="35"/>
      <c r="D49" s="35"/>
      <c r="E49" s="35"/>
      <c r="F49" s="35"/>
      <c r="G49" s="35"/>
      <c r="H49" s="35"/>
      <c r="I49" s="35"/>
      <c r="J49" s="35"/>
      <c r="K49" s="35"/>
      <c r="L49" s="35"/>
      <c r="M49" s="35"/>
      <c r="N49" s="35"/>
      <c r="O49" s="35"/>
      <c r="P49" s="35"/>
      <c r="Z49" s="160" t="str">
        <f>IFERROR((VLOOKUP(E49,'FE Movilidad'!$B$73:$D$80,2,FALSE))*'Mov. artistas'!F49," ")</f>
        <v xml:space="preserve"> </v>
      </c>
      <c r="AA49" s="160">
        <f>IFERROR(G49*'FE Movilidad'!$E$140," ")</f>
        <v>0</v>
      </c>
      <c r="AB49" s="160" t="str">
        <f t="shared" si="0"/>
        <v/>
      </c>
      <c r="AC49" s="160" t="str">
        <f>IFERROR(VLOOKUP(AB49,'FE Movilidad'!$E$123:$G$134,3,FALSE)*'Mov. artistas'!J49," ")</f>
        <v xml:space="preserve"> </v>
      </c>
      <c r="AD49" s="160" t="str">
        <f t="shared" si="1"/>
        <v/>
      </c>
      <c r="AE49" s="161" t="str">
        <f>IFERROR(VLOOKUP(AD49,'FE Movilidad'!$E$6:$G$66,2,FALSE)," ")</f>
        <v xml:space="preserve"> </v>
      </c>
      <c r="AF49" s="161" t="str">
        <f t="shared" si="2"/>
        <v xml:space="preserve"> </v>
      </c>
    </row>
    <row r="50" spans="2:32" x14ac:dyDescent="0.3">
      <c r="B50" s="103">
        <v>41</v>
      </c>
      <c r="C50" s="35"/>
      <c r="D50" s="35"/>
      <c r="E50" s="35"/>
      <c r="F50" s="35"/>
      <c r="G50" s="35"/>
      <c r="H50" s="35"/>
      <c r="I50" s="35"/>
      <c r="J50" s="35"/>
      <c r="K50" s="35"/>
      <c r="L50" s="35"/>
      <c r="M50" s="35"/>
      <c r="N50" s="35"/>
      <c r="O50" s="35"/>
      <c r="P50" s="35"/>
      <c r="Z50" s="160" t="str">
        <f>IFERROR((VLOOKUP(E50,'FE Movilidad'!$B$73:$D$80,2,FALSE))*'Mov. artistas'!F50," ")</f>
        <v xml:space="preserve"> </v>
      </c>
      <c r="AA50" s="160">
        <f>IFERROR(G50*'FE Movilidad'!$E$140," ")</f>
        <v>0</v>
      </c>
      <c r="AB50" s="160" t="str">
        <f t="shared" si="0"/>
        <v/>
      </c>
      <c r="AC50" s="160" t="str">
        <f>IFERROR(VLOOKUP(AB50,'FE Movilidad'!$E$123:$G$134,3,FALSE)*'Mov. artistas'!J50," ")</f>
        <v xml:space="preserve"> </v>
      </c>
      <c r="AD50" s="160" t="str">
        <f t="shared" si="1"/>
        <v/>
      </c>
      <c r="AE50" s="161" t="str">
        <f>IFERROR(VLOOKUP(AD50,'FE Movilidad'!$E$6:$G$66,2,FALSE)," ")</f>
        <v xml:space="preserve"> </v>
      </c>
      <c r="AF50" s="161" t="str">
        <f t="shared" si="2"/>
        <v xml:space="preserve"> </v>
      </c>
    </row>
    <row r="51" spans="2:32" x14ac:dyDescent="0.3">
      <c r="B51" s="103">
        <v>42</v>
      </c>
      <c r="C51" s="35"/>
      <c r="D51" s="35"/>
      <c r="E51" s="35"/>
      <c r="F51" s="35"/>
      <c r="G51" s="35"/>
      <c r="H51" s="35"/>
      <c r="I51" s="35"/>
      <c r="J51" s="35"/>
      <c r="K51" s="35"/>
      <c r="L51" s="35"/>
      <c r="M51" s="35"/>
      <c r="N51" s="35"/>
      <c r="O51" s="35"/>
      <c r="P51" s="35"/>
      <c r="Z51" s="160" t="str">
        <f>IFERROR((VLOOKUP(E51,'FE Movilidad'!$B$73:$D$80,2,FALSE))*'Mov. artistas'!F51," ")</f>
        <v xml:space="preserve"> </v>
      </c>
      <c r="AA51" s="160">
        <f>IFERROR(G51*'FE Movilidad'!$E$140," ")</f>
        <v>0</v>
      </c>
      <c r="AB51" s="160" t="str">
        <f t="shared" si="0"/>
        <v/>
      </c>
      <c r="AC51" s="160" t="str">
        <f>IFERROR(VLOOKUP(AB51,'FE Movilidad'!$E$123:$G$134,3,FALSE)*'Mov. artistas'!J51," ")</f>
        <v xml:space="preserve"> </v>
      </c>
      <c r="AD51" s="160" t="str">
        <f t="shared" si="1"/>
        <v/>
      </c>
      <c r="AE51" s="161" t="str">
        <f>IFERROR(VLOOKUP(AD51,'FE Movilidad'!$E$6:$G$66,2,FALSE)," ")</f>
        <v xml:space="preserve"> </v>
      </c>
      <c r="AF51" s="161" t="str">
        <f t="shared" si="2"/>
        <v xml:space="preserve"> </v>
      </c>
    </row>
    <row r="52" spans="2:32" x14ac:dyDescent="0.3">
      <c r="B52" s="103">
        <v>43</v>
      </c>
      <c r="C52" s="35"/>
      <c r="D52" s="35"/>
      <c r="E52" s="35"/>
      <c r="F52" s="35"/>
      <c r="G52" s="35"/>
      <c r="H52" s="35"/>
      <c r="I52" s="35"/>
      <c r="J52" s="35"/>
      <c r="K52" s="35"/>
      <c r="L52" s="35"/>
      <c r="M52" s="35"/>
      <c r="N52" s="35"/>
      <c r="O52" s="35"/>
      <c r="P52" s="35"/>
      <c r="Z52" s="160" t="str">
        <f>IFERROR((VLOOKUP(E52,'FE Movilidad'!$B$73:$D$80,2,FALSE))*'Mov. artistas'!F52," ")</f>
        <v xml:space="preserve"> </v>
      </c>
      <c r="AA52" s="160">
        <f>IFERROR(G52*'FE Movilidad'!$E$140," ")</f>
        <v>0</v>
      </c>
      <c r="AB52" s="160" t="str">
        <f t="shared" si="0"/>
        <v/>
      </c>
      <c r="AC52" s="160" t="str">
        <f>IFERROR(VLOOKUP(AB52,'FE Movilidad'!$E$123:$G$134,3,FALSE)*'Mov. artistas'!J52," ")</f>
        <v xml:space="preserve"> </v>
      </c>
      <c r="AD52" s="160" t="str">
        <f t="shared" si="1"/>
        <v/>
      </c>
      <c r="AE52" s="161" t="str">
        <f>IFERROR(VLOOKUP(AD52,'FE Movilidad'!$E$6:$G$66,2,FALSE)," ")</f>
        <v xml:space="preserve"> </v>
      </c>
      <c r="AF52" s="161" t="str">
        <f t="shared" si="2"/>
        <v xml:space="preserve"> </v>
      </c>
    </row>
    <row r="53" spans="2:32" x14ac:dyDescent="0.3">
      <c r="B53" s="103">
        <v>44</v>
      </c>
      <c r="C53" s="35"/>
      <c r="D53" s="35"/>
      <c r="E53" s="35"/>
      <c r="F53" s="35"/>
      <c r="G53" s="35"/>
      <c r="H53" s="35"/>
      <c r="I53" s="35"/>
      <c r="J53" s="35"/>
      <c r="K53" s="35"/>
      <c r="L53" s="35"/>
      <c r="M53" s="35"/>
      <c r="N53" s="35"/>
      <c r="O53" s="35"/>
      <c r="P53" s="35"/>
      <c r="Z53" s="160" t="str">
        <f>IFERROR((VLOOKUP(E53,'FE Movilidad'!$B$73:$D$80,2,FALSE))*'Mov. artistas'!F53," ")</f>
        <v xml:space="preserve"> </v>
      </c>
      <c r="AA53" s="160">
        <f>IFERROR(G53*'FE Movilidad'!$E$140," ")</f>
        <v>0</v>
      </c>
      <c r="AB53" s="160" t="str">
        <f t="shared" si="0"/>
        <v/>
      </c>
      <c r="AC53" s="160" t="str">
        <f>IFERROR(VLOOKUP(AB53,'FE Movilidad'!$E$123:$G$134,3,FALSE)*'Mov. artistas'!J53," ")</f>
        <v xml:space="preserve"> </v>
      </c>
      <c r="AD53" s="160" t="str">
        <f t="shared" si="1"/>
        <v/>
      </c>
      <c r="AE53" s="161" t="str">
        <f>IFERROR(VLOOKUP(AD53,'FE Movilidad'!$E$6:$G$66,2,FALSE)," ")</f>
        <v xml:space="preserve"> </v>
      </c>
      <c r="AF53" s="161" t="str">
        <f t="shared" si="2"/>
        <v xml:space="preserve"> </v>
      </c>
    </row>
    <row r="54" spans="2:32" x14ac:dyDescent="0.3">
      <c r="B54" s="103">
        <v>45</v>
      </c>
      <c r="C54" s="35"/>
      <c r="D54" s="35"/>
      <c r="E54" s="35"/>
      <c r="F54" s="35"/>
      <c r="G54" s="35"/>
      <c r="H54" s="35"/>
      <c r="I54" s="35"/>
      <c r="J54" s="35"/>
      <c r="K54" s="35"/>
      <c r="L54" s="35"/>
      <c r="M54" s="35"/>
      <c r="N54" s="35"/>
      <c r="O54" s="35"/>
      <c r="P54" s="35"/>
      <c r="Z54" s="160" t="str">
        <f>IFERROR((VLOOKUP(E54,'FE Movilidad'!$B$73:$D$80,2,FALSE))*'Mov. artistas'!F54," ")</f>
        <v xml:space="preserve"> </v>
      </c>
      <c r="AA54" s="160">
        <f>IFERROR(G54*'FE Movilidad'!$E$140," ")</f>
        <v>0</v>
      </c>
      <c r="AB54" s="160" t="str">
        <f t="shared" si="0"/>
        <v/>
      </c>
      <c r="AC54" s="160" t="str">
        <f>IFERROR(VLOOKUP(AB54,'FE Movilidad'!$E$123:$G$134,3,FALSE)*'Mov. artistas'!J54," ")</f>
        <v xml:space="preserve"> </v>
      </c>
      <c r="AD54" s="160" t="str">
        <f t="shared" si="1"/>
        <v/>
      </c>
      <c r="AE54" s="161" t="str">
        <f>IFERROR(VLOOKUP(AD54,'FE Movilidad'!$E$6:$G$66,2,FALSE)," ")</f>
        <v xml:space="preserve"> </v>
      </c>
      <c r="AF54" s="161" t="str">
        <f t="shared" si="2"/>
        <v xml:space="preserve"> </v>
      </c>
    </row>
    <row r="55" spans="2:32" x14ac:dyDescent="0.3">
      <c r="B55" s="103">
        <v>46</v>
      </c>
      <c r="C55" s="35"/>
      <c r="D55" s="35"/>
      <c r="E55" s="35"/>
      <c r="F55" s="35"/>
      <c r="G55" s="35"/>
      <c r="H55" s="35"/>
      <c r="I55" s="35"/>
      <c r="J55" s="35"/>
      <c r="K55" s="35"/>
      <c r="L55" s="35"/>
      <c r="M55" s="35"/>
      <c r="N55" s="35"/>
      <c r="O55" s="35"/>
      <c r="P55" s="35"/>
      <c r="Z55" s="160" t="str">
        <f>IFERROR((VLOOKUP(E55,'FE Movilidad'!$B$73:$D$80,2,FALSE))*'Mov. artistas'!F55," ")</f>
        <v xml:space="preserve"> </v>
      </c>
      <c r="AA55" s="160">
        <f>IFERROR(G55*'FE Movilidad'!$E$140," ")</f>
        <v>0</v>
      </c>
      <c r="AB55" s="160" t="str">
        <f t="shared" si="0"/>
        <v/>
      </c>
      <c r="AC55" s="160" t="str">
        <f>IFERROR(VLOOKUP(AB55,'FE Movilidad'!$E$123:$G$134,3,FALSE)*'Mov. artistas'!J55," ")</f>
        <v xml:space="preserve"> </v>
      </c>
      <c r="AD55" s="160" t="str">
        <f t="shared" si="1"/>
        <v/>
      </c>
      <c r="AE55" s="161" t="str">
        <f>IFERROR(VLOOKUP(AD55,'FE Movilidad'!$E$6:$G$66,2,FALSE)," ")</f>
        <v xml:space="preserve"> </v>
      </c>
      <c r="AF55" s="161" t="str">
        <f t="shared" si="2"/>
        <v xml:space="preserve"> </v>
      </c>
    </row>
    <row r="56" spans="2:32" x14ac:dyDescent="0.3">
      <c r="B56" s="103">
        <v>47</v>
      </c>
      <c r="C56" s="35"/>
      <c r="D56" s="35"/>
      <c r="E56" s="35"/>
      <c r="F56" s="35"/>
      <c r="G56" s="35"/>
      <c r="H56" s="35"/>
      <c r="I56" s="35"/>
      <c r="J56" s="35"/>
      <c r="K56" s="35"/>
      <c r="L56" s="35"/>
      <c r="M56" s="35"/>
      <c r="N56" s="35"/>
      <c r="O56" s="35"/>
      <c r="P56" s="35"/>
      <c r="Z56" s="160" t="str">
        <f>IFERROR((VLOOKUP(E56,'FE Movilidad'!$B$73:$D$80,2,FALSE))*'Mov. artistas'!F56," ")</f>
        <v xml:space="preserve"> </v>
      </c>
      <c r="AA56" s="160">
        <f>IFERROR(G56*'FE Movilidad'!$E$140," ")</f>
        <v>0</v>
      </c>
      <c r="AB56" s="160" t="str">
        <f t="shared" si="0"/>
        <v/>
      </c>
      <c r="AC56" s="160" t="str">
        <f>IFERROR(VLOOKUP(AB56,'FE Movilidad'!$E$123:$G$134,3,FALSE)*'Mov. artistas'!J56," ")</f>
        <v xml:space="preserve"> </v>
      </c>
      <c r="AD56" s="160" t="str">
        <f t="shared" si="1"/>
        <v/>
      </c>
      <c r="AE56" s="161" t="str">
        <f>IFERROR(VLOOKUP(AD56,'FE Movilidad'!$E$6:$G$66,2,FALSE)," ")</f>
        <v xml:space="preserve"> </v>
      </c>
      <c r="AF56" s="161" t="str">
        <f t="shared" si="2"/>
        <v xml:space="preserve"> </v>
      </c>
    </row>
    <row r="57" spans="2:32" x14ac:dyDescent="0.3">
      <c r="B57" s="103">
        <v>48</v>
      </c>
      <c r="C57" s="35"/>
      <c r="D57" s="35"/>
      <c r="E57" s="35"/>
      <c r="F57" s="35"/>
      <c r="G57" s="35"/>
      <c r="H57" s="35"/>
      <c r="I57" s="35"/>
      <c r="J57" s="35"/>
      <c r="K57" s="35"/>
      <c r="L57" s="35"/>
      <c r="M57" s="35"/>
      <c r="N57" s="35"/>
      <c r="O57" s="35"/>
      <c r="P57" s="35"/>
      <c r="Z57" s="160" t="str">
        <f>IFERROR((VLOOKUP(E57,'FE Movilidad'!$B$73:$D$80,2,FALSE))*'Mov. artistas'!F57," ")</f>
        <v xml:space="preserve"> </v>
      </c>
      <c r="AA57" s="160">
        <f>IFERROR(G57*'FE Movilidad'!$E$140," ")</f>
        <v>0</v>
      </c>
      <c r="AB57" s="160" t="str">
        <f t="shared" si="0"/>
        <v/>
      </c>
      <c r="AC57" s="160" t="str">
        <f>IFERROR(VLOOKUP(AB57,'FE Movilidad'!$E$123:$G$134,3,FALSE)*'Mov. artistas'!J57," ")</f>
        <v xml:space="preserve"> </v>
      </c>
      <c r="AD57" s="160" t="str">
        <f t="shared" si="1"/>
        <v/>
      </c>
      <c r="AE57" s="161" t="str">
        <f>IFERROR(VLOOKUP(AD57,'FE Movilidad'!$E$6:$G$66,2,FALSE)," ")</f>
        <v xml:space="preserve"> </v>
      </c>
      <c r="AF57" s="161" t="str">
        <f t="shared" si="2"/>
        <v xml:space="preserve"> </v>
      </c>
    </row>
    <row r="58" spans="2:32" x14ac:dyDescent="0.3">
      <c r="B58" s="103">
        <v>49</v>
      </c>
      <c r="C58" s="35"/>
      <c r="D58" s="35"/>
      <c r="E58" s="35"/>
      <c r="F58" s="35"/>
      <c r="G58" s="35"/>
      <c r="H58" s="35"/>
      <c r="I58" s="35"/>
      <c r="J58" s="35"/>
      <c r="K58" s="35"/>
      <c r="L58" s="35"/>
      <c r="M58" s="35"/>
      <c r="N58" s="35"/>
      <c r="O58" s="35"/>
      <c r="P58" s="35"/>
      <c r="Z58" s="160" t="str">
        <f>IFERROR((VLOOKUP(E58,'FE Movilidad'!$B$73:$D$80,2,FALSE))*'Mov. artistas'!F58," ")</f>
        <v xml:space="preserve"> </v>
      </c>
      <c r="AA58" s="160">
        <f>IFERROR(G58*'FE Movilidad'!$E$140," ")</f>
        <v>0</v>
      </c>
      <c r="AB58" s="160" t="str">
        <f t="shared" si="0"/>
        <v/>
      </c>
      <c r="AC58" s="160" t="str">
        <f>IFERROR(VLOOKUP(AB58,'FE Movilidad'!$E$123:$G$134,3,FALSE)*'Mov. artistas'!J58," ")</f>
        <v xml:space="preserve"> </v>
      </c>
      <c r="AD58" s="160" t="str">
        <f t="shared" si="1"/>
        <v/>
      </c>
      <c r="AE58" s="161" t="str">
        <f>IFERROR(VLOOKUP(AD58,'FE Movilidad'!$E$6:$G$66,2,FALSE)," ")</f>
        <v xml:space="preserve"> </v>
      </c>
      <c r="AF58" s="161" t="str">
        <f t="shared" si="2"/>
        <v xml:space="preserve"> </v>
      </c>
    </row>
    <row r="59" spans="2:32" x14ac:dyDescent="0.3">
      <c r="B59" s="103">
        <v>50</v>
      </c>
      <c r="C59" s="35"/>
      <c r="D59" s="35"/>
      <c r="E59" s="35"/>
      <c r="F59" s="35"/>
      <c r="G59" s="35"/>
      <c r="H59" s="35"/>
      <c r="I59" s="35"/>
      <c r="J59" s="35"/>
      <c r="K59" s="35"/>
      <c r="L59" s="35"/>
      <c r="M59" s="35"/>
      <c r="N59" s="35"/>
      <c r="O59" s="35"/>
      <c r="P59" s="35"/>
      <c r="Z59" s="160" t="str">
        <f>IFERROR((VLOOKUP(E59,'FE Movilidad'!$B$73:$D$80,2,FALSE))*'Mov. artistas'!F59," ")</f>
        <v xml:space="preserve"> </v>
      </c>
      <c r="AA59" s="160">
        <f>IFERROR(G59*'FE Movilidad'!$E$140," ")</f>
        <v>0</v>
      </c>
      <c r="AB59" s="160" t="str">
        <f t="shared" si="0"/>
        <v/>
      </c>
      <c r="AC59" s="160" t="str">
        <f>IFERROR(VLOOKUP(AB59,'FE Movilidad'!$E$123:$G$134,3,FALSE)*'Mov. artistas'!J59," ")</f>
        <v xml:space="preserve"> </v>
      </c>
      <c r="AD59" s="160" t="str">
        <f t="shared" si="1"/>
        <v/>
      </c>
      <c r="AE59" s="161" t="str">
        <f>IFERROR(VLOOKUP(AD59,'FE Movilidad'!$E$6:$G$66,2,FALSE)," ")</f>
        <v xml:space="preserve"> </v>
      </c>
      <c r="AF59" s="161" t="str">
        <f t="shared" si="2"/>
        <v xml:space="preserve"> </v>
      </c>
    </row>
    <row r="62" spans="2:32" ht="28.8" x14ac:dyDescent="0.3">
      <c r="O62" s="84" t="s">
        <v>77</v>
      </c>
      <c r="P62" s="85">
        <f>SUM(Z10:Z59,AA10:AA59,AC10:AC59,AF10:AF59)</f>
        <v>349.00383926174493</v>
      </c>
    </row>
  </sheetData>
  <sheetProtection algorithmName="SHA-512" hashValue="SKwfSV/e2QsHNN/9bhC57NhCPKUieXwDEhohrX6zYqSHYjkb1SxANk6T5AsUKuMH8HDZX5I3ZSNWuPYkZq/SWA==" saltValue="UgdB1Y338asFprmkcjdNpw==" spinCount="100000" sheet="1" objects="1" scenarios="1"/>
  <protectedRanges>
    <protectedRange sqref="G35:G59 C11:D34 F11:G34 K10:P59 I10:I59 H11:H59 C10:H10 J10:J34 E11:E59" name="Rango2"/>
  </protectedRanges>
  <mergeCells count="15">
    <mergeCell ref="AB8:AC8"/>
    <mergeCell ref="AD8:AF8"/>
    <mergeCell ref="B4:P4"/>
    <mergeCell ref="I2:J2"/>
    <mergeCell ref="K6:P7"/>
    <mergeCell ref="C6:J7"/>
    <mergeCell ref="B6:B9"/>
    <mergeCell ref="E8:F8"/>
    <mergeCell ref="C8:C9"/>
    <mergeCell ref="K8:K9"/>
    <mergeCell ref="L8:L9"/>
    <mergeCell ref="N8:P8"/>
    <mergeCell ref="H8:J8"/>
    <mergeCell ref="D8:D9"/>
    <mergeCell ref="M8:M9"/>
  </mergeCells>
  <conditionalFormatting sqref="C10:D34 N10:P59 G35:G59">
    <cfRule type="expression" dxfId="13" priority="3">
      <formula>#REF!="Transport públic"</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7DEFE6C6-EAE2-45F3-83C6-0C391EB144C3}">
          <x14:formula1>
            <xm:f>'FE Movilidad'!$H$90:$H$93</xm:f>
          </x14:formula1>
          <xm:sqref>N10:N59</xm:sqref>
        </x14:dataValidation>
        <x14:dataValidation type="list" allowBlank="1" showInputMessage="1" showErrorMessage="1" xr:uid="{65854240-14B0-4F0C-A516-8B2CA9A17E45}">
          <x14:formula1>
            <xm:f>'FE Movilidad'!$B$7:$B$64</xm:f>
          </x14:formula1>
          <xm:sqref>O10:O59</xm:sqref>
        </x14:dataValidation>
        <x14:dataValidation type="list" allowBlank="1" showInputMessage="1" showErrorMessage="1" xr:uid="{A5FB4B9F-94A4-4A4E-9FD3-074E29CF0303}">
          <x14:formula1>
            <xm:f>'FE Movilidad'!$D$127:$D$130</xm:f>
          </x14:formula1>
          <xm:sqref>I10:I59</xm:sqref>
        </x14:dataValidation>
        <x14:dataValidation type="list" allowBlank="1" showInputMessage="1" showErrorMessage="1" xr:uid="{42F92120-D9D2-4322-A5F8-129363B6D79D}">
          <x14:formula1>
            <xm:f>'FE Movilidad'!$C$124:$C$134</xm:f>
          </x14:formula1>
          <xm:sqref>H10:H59</xm:sqref>
        </x14:dataValidation>
        <x14:dataValidation type="list" allowBlank="1" showInputMessage="1" showErrorMessage="1" xr:uid="{91F45B69-DBEB-4535-8406-86F41293DB84}">
          <x14:formula1>
            <xm:f>'FE Movilidad'!$H$94:$H$97</xm:f>
          </x14:formula1>
          <xm:sqref>E10:E59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96B51-54E1-4338-8098-3AE776D343CA}">
  <dimension ref="A2:AJ62"/>
  <sheetViews>
    <sheetView topLeftCell="L1" zoomScaleNormal="100" workbookViewId="0">
      <selection activeCell="S9" sqref="S9"/>
    </sheetView>
  </sheetViews>
  <sheetFormatPr baseColWidth="10" defaultColWidth="9.109375" defaultRowHeight="14.4" x14ac:dyDescent="0.3"/>
  <cols>
    <col min="1" max="1" width="9.44140625" style="1" customWidth="1"/>
    <col min="2" max="2" width="10.44140625" style="5" customWidth="1"/>
    <col min="3" max="3" width="35.88671875" style="1" customWidth="1"/>
    <col min="4" max="6" width="22.5546875" style="1" customWidth="1"/>
    <col min="7" max="8" width="34.6640625" style="1" customWidth="1"/>
    <col min="9" max="9" width="28" style="1" customWidth="1"/>
    <col min="10" max="10" width="17.88671875" style="1" customWidth="1"/>
    <col min="11" max="11" width="21.33203125" style="1" customWidth="1"/>
    <col min="12" max="12" width="18.6640625" style="1" customWidth="1"/>
    <col min="13" max="13" width="23.109375" style="1" customWidth="1"/>
    <col min="14" max="14" width="22.88671875" style="1" customWidth="1"/>
    <col min="15" max="15" width="18.44140625" style="1" customWidth="1"/>
    <col min="16" max="22" width="14.6640625" style="1" customWidth="1"/>
    <col min="23" max="23" width="20.109375" style="1" customWidth="1"/>
    <col min="24" max="24" width="19.33203125" style="144" hidden="1" customWidth="1"/>
    <col min="25" max="25" width="8.88671875" style="144" hidden="1" customWidth="1"/>
    <col min="26" max="27" width="15.6640625" style="144" hidden="1" customWidth="1"/>
    <col min="28" max="28" width="19.33203125" style="144" hidden="1" customWidth="1"/>
    <col min="29" max="29" width="22.5546875" style="144" hidden="1" customWidth="1"/>
    <col min="30" max="30" width="14.6640625" style="144" hidden="1" customWidth="1"/>
    <col min="31" max="36" width="24.88671875" style="144" hidden="1" customWidth="1"/>
    <col min="37" max="52" width="24.88671875" style="1" customWidth="1"/>
    <col min="53" max="53" width="14.109375" style="1" customWidth="1"/>
    <col min="54" max="16384" width="9.109375" style="1"/>
  </cols>
  <sheetData>
    <row r="2" spans="1:35" ht="25.8" x14ac:dyDescent="0.3">
      <c r="A2" s="6"/>
      <c r="B2" s="10" t="s">
        <v>195</v>
      </c>
      <c r="G2" s="9"/>
      <c r="M2" s="9" t="s">
        <v>222</v>
      </c>
      <c r="O2" s="134" t="s">
        <v>223</v>
      </c>
      <c r="P2" s="134"/>
    </row>
    <row r="4" spans="1:35" ht="36" customHeight="1" x14ac:dyDescent="0.3">
      <c r="B4" s="215" t="s">
        <v>224</v>
      </c>
      <c r="C4" s="215"/>
      <c r="D4" s="215"/>
      <c r="E4" s="215"/>
      <c r="F4" s="215"/>
      <c r="G4" s="215"/>
      <c r="H4" s="215"/>
      <c r="I4" s="215"/>
      <c r="J4" s="215"/>
      <c r="K4" s="215"/>
      <c r="L4" s="215"/>
      <c r="M4" s="215"/>
      <c r="N4" s="215"/>
      <c r="O4" s="215"/>
      <c r="P4" s="215"/>
    </row>
    <row r="5" spans="1:35" x14ac:dyDescent="0.3">
      <c r="B5" s="28"/>
    </row>
    <row r="6" spans="1:35" x14ac:dyDescent="0.3">
      <c r="B6" s="248" t="s">
        <v>199</v>
      </c>
      <c r="C6" s="253" t="s">
        <v>200</v>
      </c>
      <c r="D6" s="253"/>
      <c r="E6" s="253"/>
      <c r="F6" s="253"/>
      <c r="G6" s="253"/>
      <c r="H6" s="253"/>
      <c r="I6" s="253"/>
      <c r="J6" s="253"/>
      <c r="K6" s="253"/>
      <c r="L6" s="253"/>
      <c r="M6" s="253"/>
      <c r="N6" s="253"/>
      <c r="O6" s="253"/>
      <c r="P6" s="253"/>
      <c r="Q6" s="2"/>
      <c r="R6" s="2"/>
      <c r="S6" s="2"/>
      <c r="T6" s="2"/>
      <c r="U6" s="2"/>
      <c r="V6" s="2"/>
    </row>
    <row r="7" spans="1:35" x14ac:dyDescent="0.3">
      <c r="B7" s="248"/>
      <c r="C7" s="253"/>
      <c r="D7" s="253"/>
      <c r="E7" s="253"/>
      <c r="F7" s="253"/>
      <c r="G7" s="253"/>
      <c r="H7" s="253"/>
      <c r="I7" s="253"/>
      <c r="J7" s="253"/>
      <c r="K7" s="253"/>
      <c r="L7" s="253"/>
      <c r="M7" s="253"/>
      <c r="N7" s="253"/>
      <c r="O7" s="253"/>
      <c r="P7" s="253"/>
      <c r="Q7" s="2"/>
      <c r="R7" s="2"/>
      <c r="S7" s="2"/>
      <c r="T7" s="2"/>
      <c r="U7" s="2"/>
      <c r="V7" s="2"/>
    </row>
    <row r="8" spans="1:35" ht="73.2" customHeight="1" x14ac:dyDescent="0.3">
      <c r="B8" s="240"/>
      <c r="C8" s="249" t="s">
        <v>187</v>
      </c>
      <c r="D8" s="249" t="s">
        <v>146</v>
      </c>
      <c r="E8" s="250" t="s">
        <v>202</v>
      </c>
      <c r="F8" s="251"/>
      <c r="G8" s="121" t="s">
        <v>203</v>
      </c>
      <c r="H8" s="252" t="s">
        <v>204</v>
      </c>
      <c r="I8" s="252"/>
      <c r="J8" s="252"/>
      <c r="K8" s="245" t="s">
        <v>158</v>
      </c>
      <c r="L8" s="245"/>
      <c r="M8" s="245"/>
      <c r="N8" s="246"/>
      <c r="O8" s="140" t="s">
        <v>159</v>
      </c>
      <c r="P8" s="247" t="s">
        <v>160</v>
      </c>
      <c r="Q8" s="141"/>
      <c r="R8" s="141"/>
      <c r="S8" s="141"/>
      <c r="T8" s="141"/>
      <c r="U8" s="141"/>
      <c r="V8" s="141"/>
      <c r="Z8" s="157" t="s">
        <v>208</v>
      </c>
      <c r="AA8" s="157" t="s">
        <v>209</v>
      </c>
      <c r="AB8" s="229" t="s">
        <v>210</v>
      </c>
      <c r="AC8" s="235"/>
      <c r="AD8" s="228" t="s">
        <v>143</v>
      </c>
      <c r="AE8" s="228"/>
      <c r="AF8" s="228"/>
      <c r="AG8" s="228"/>
      <c r="AH8" s="220" t="s">
        <v>161</v>
      </c>
      <c r="AI8" s="221"/>
    </row>
    <row r="9" spans="1:35" ht="43.95" customHeight="1" x14ac:dyDescent="0.3">
      <c r="B9" s="241"/>
      <c r="C9" s="241"/>
      <c r="D9" s="241"/>
      <c r="E9" s="105" t="s">
        <v>211</v>
      </c>
      <c r="F9" s="105" t="s">
        <v>212</v>
      </c>
      <c r="G9" s="105" t="s">
        <v>213</v>
      </c>
      <c r="H9" s="105" t="s">
        <v>214</v>
      </c>
      <c r="I9" s="105" t="s">
        <v>215</v>
      </c>
      <c r="J9" s="105" t="s">
        <v>216</v>
      </c>
      <c r="K9" s="67" t="s">
        <v>147</v>
      </c>
      <c r="L9" s="67" t="s">
        <v>162</v>
      </c>
      <c r="M9" s="67" t="s">
        <v>163</v>
      </c>
      <c r="N9" s="100" t="s">
        <v>164</v>
      </c>
      <c r="O9" s="67" t="s">
        <v>165</v>
      </c>
      <c r="P9" s="223"/>
      <c r="Q9" s="136"/>
      <c r="R9" s="136"/>
      <c r="S9" s="136"/>
      <c r="T9" s="136"/>
      <c r="U9" s="136"/>
      <c r="V9" s="136"/>
      <c r="Z9" s="159" t="s">
        <v>192</v>
      </c>
      <c r="AA9" s="159" t="s">
        <v>192</v>
      </c>
      <c r="AB9" s="158" t="s">
        <v>151</v>
      </c>
      <c r="AC9" s="159" t="s">
        <v>192</v>
      </c>
      <c r="AD9" s="158" t="s">
        <v>151</v>
      </c>
      <c r="AE9" s="159" t="s">
        <v>152</v>
      </c>
      <c r="AF9" s="159" t="s">
        <v>153</v>
      </c>
      <c r="AG9" s="164" t="s">
        <v>166</v>
      </c>
      <c r="AH9" s="147" t="s">
        <v>167</v>
      </c>
      <c r="AI9" s="147" t="s">
        <v>168</v>
      </c>
    </row>
    <row r="10" spans="1:35" x14ac:dyDescent="0.3">
      <c r="B10" s="103">
        <v>1</v>
      </c>
      <c r="C10" s="35"/>
      <c r="D10" s="35"/>
      <c r="E10" s="35" t="s">
        <v>219</v>
      </c>
      <c r="F10" s="35">
        <v>50</v>
      </c>
      <c r="G10" s="35"/>
      <c r="H10" s="35" t="s">
        <v>220</v>
      </c>
      <c r="I10" s="35" t="s">
        <v>221</v>
      </c>
      <c r="J10" s="35">
        <v>50</v>
      </c>
      <c r="K10" s="52" t="s">
        <v>170</v>
      </c>
      <c r="L10" s="50" t="s">
        <v>171</v>
      </c>
      <c r="M10" s="51" t="s">
        <v>155</v>
      </c>
      <c r="N10" s="54">
        <v>50</v>
      </c>
      <c r="O10" s="53" t="s">
        <v>172</v>
      </c>
      <c r="P10" s="58">
        <v>50</v>
      </c>
      <c r="Q10" s="11"/>
      <c r="R10" s="11"/>
      <c r="S10" s="11"/>
      <c r="T10" s="11"/>
      <c r="U10" s="11"/>
      <c r="V10" s="11"/>
      <c r="Z10" s="160">
        <f>IFERROR((VLOOKUP(E10,'FE Movilidad'!$B$73:$D$80,2,FALSE))*'Mov. audiencia'!F10," ")</f>
        <v>1.325</v>
      </c>
      <c r="AA10" s="160">
        <f>IFERROR(G10*'FE Movilidad'!$E$140," ")</f>
        <v>0</v>
      </c>
      <c r="AB10" s="160" t="str">
        <f t="shared" ref="AB10:AB41" si="0">CONCATENATE(H10,I10)</f>
        <v>DomésticosEconomy class</v>
      </c>
      <c r="AC10" s="160">
        <f>IFERROR(VLOOKUP(AB10,'FE Movilidad'!$E$123:$G$134,3,FALSE)*'Mov. audiencia'!J10," ")</f>
        <v>13.628839261744966</v>
      </c>
      <c r="AD10" s="160" t="str">
        <f>CONCATENATE(K10,M10)</f>
        <v>CiclomotorGasolina  (l)</v>
      </c>
      <c r="AE10" s="161">
        <f>IFERROR(VLOOKUP(AD10,'FE Movilidad'!$E$6:$G$66,2,FALSE)," ")</f>
        <v>2.2850000000000001</v>
      </c>
      <c r="AF10" s="165">
        <f>IFERROR(IF(N10&gt;0,N10*AE10,P10*AE10)," ")</f>
        <v>114.25</v>
      </c>
      <c r="AG10" s="165">
        <f>IF(L10="Pasajero",AF10*0,AF10)</f>
        <v>114.25</v>
      </c>
      <c r="AH10" s="153">
        <f>IFERROR(IF((O10="Autobús urbano"),('FE Movilidad'!$G$76/1000),(VLOOKUP(O10,'FE Movilidad'!$B$74:$D$80,2,FALSE)))," ")</f>
        <v>7.4749999999999997E-2</v>
      </c>
      <c r="AI10" s="153">
        <f>IFERROR(IF(OR(O10="A pie",O10="Bicicleta"),0,AH10*P10)," ")</f>
        <v>3.7374999999999998</v>
      </c>
    </row>
    <row r="11" spans="1:35" x14ac:dyDescent="0.3">
      <c r="B11" s="103">
        <v>2</v>
      </c>
      <c r="C11" s="35"/>
      <c r="D11" s="35"/>
      <c r="E11" s="35"/>
      <c r="F11" s="35"/>
      <c r="G11" s="35"/>
      <c r="H11" s="35"/>
      <c r="I11" s="35"/>
      <c r="J11" s="35"/>
      <c r="K11" s="52" t="s">
        <v>170</v>
      </c>
      <c r="L11" s="50" t="s">
        <v>173</v>
      </c>
      <c r="M11" s="51" t="s">
        <v>155</v>
      </c>
      <c r="N11" s="55">
        <v>50</v>
      </c>
      <c r="O11" s="53" t="s">
        <v>174</v>
      </c>
      <c r="P11" s="57"/>
      <c r="Q11" s="11"/>
      <c r="R11" s="11"/>
      <c r="S11" s="11"/>
      <c r="T11" s="11"/>
      <c r="U11" s="11"/>
      <c r="V11" s="11"/>
      <c r="Z11" s="160" t="str">
        <f>IFERROR((VLOOKUP(E11,'FE Movilidad'!$B$73:$D$80,2,FALSE))*'Mov. audiencia'!F11," ")</f>
        <v xml:space="preserve"> </v>
      </c>
      <c r="AA11" s="160">
        <f>IFERROR(G11*'FE Movilidad'!$E$140," ")</f>
        <v>0</v>
      </c>
      <c r="AB11" s="160" t="str">
        <f t="shared" si="0"/>
        <v/>
      </c>
      <c r="AC11" s="160" t="str">
        <f>IFERROR(VLOOKUP(AB11,'FE Movilidad'!$E$123:$G$134,3,FALSE)*'Mov. audiencia'!J11," ")</f>
        <v xml:space="preserve"> </v>
      </c>
      <c r="AD11" s="160" t="str">
        <f t="shared" ref="AD11:AD59" si="1">CONCATENATE(K11,M11)</f>
        <v>CiclomotorGasolina  (l)</v>
      </c>
      <c r="AE11" s="161">
        <f>IFERROR(VLOOKUP(AD11,'FE Movilidad'!$E$6:$G$66,2,FALSE)," ")</f>
        <v>2.2850000000000001</v>
      </c>
      <c r="AF11" s="165">
        <f t="shared" ref="AF11:AF59" si="2">IFERROR(IF(N11&gt;0,N11*AE11,P11*AE11)," ")</f>
        <v>114.25</v>
      </c>
      <c r="AG11" s="165">
        <f t="shared" ref="AG11:AG59" si="3">IF(L11="Pasajero",AF11*0,AF11)</f>
        <v>0</v>
      </c>
      <c r="AH11" s="153" t="str">
        <f>IFERROR(IF((O11="Autobús urbano"),('FE Movilidad'!$G$76/1000),(VLOOKUP(O11,'FE Movilidad'!$B$74:$D$80,2,FALSE)))," ")</f>
        <v xml:space="preserve"> </v>
      </c>
      <c r="AI11" s="153">
        <f t="shared" ref="AI11:AI59" si="4">IFERROR(IF(OR(O11="A pie",O11="Bicicleta"),0,AH11*P11)," ")</f>
        <v>0</v>
      </c>
    </row>
    <row r="12" spans="1:35" x14ac:dyDescent="0.3">
      <c r="B12" s="103">
        <v>3</v>
      </c>
      <c r="C12" s="35"/>
      <c r="D12" s="35"/>
      <c r="E12" s="35"/>
      <c r="F12" s="35"/>
      <c r="G12" s="35"/>
      <c r="H12" s="35"/>
      <c r="I12" s="35"/>
      <c r="J12" s="35"/>
      <c r="K12" s="52" t="s">
        <v>175</v>
      </c>
      <c r="L12" s="50" t="s">
        <v>171</v>
      </c>
      <c r="M12" s="51"/>
      <c r="N12" s="55"/>
      <c r="O12" s="53"/>
      <c r="P12" s="57">
        <v>50</v>
      </c>
      <c r="Q12" s="11"/>
      <c r="R12" s="11"/>
      <c r="S12" s="11"/>
      <c r="T12" s="11"/>
      <c r="U12" s="11"/>
      <c r="V12" s="11"/>
      <c r="Z12" s="160" t="str">
        <f>IFERROR((VLOOKUP(E12,'FE Movilidad'!$B$73:$D$80,2,FALSE))*'Mov. audiencia'!F12," ")</f>
        <v xml:space="preserve"> </v>
      </c>
      <c r="AA12" s="160">
        <f>IFERROR(G12*'FE Movilidad'!$E$140," ")</f>
        <v>0</v>
      </c>
      <c r="AB12" s="160" t="str">
        <f t="shared" si="0"/>
        <v/>
      </c>
      <c r="AC12" s="160" t="str">
        <f>IFERROR(VLOOKUP(AB12,'FE Movilidad'!$E$123:$G$134,3,FALSE)*'Mov. audiencia'!J12," ")</f>
        <v xml:space="preserve"> </v>
      </c>
      <c r="AD12" s="160" t="str">
        <f t="shared" si="1"/>
        <v>Híbrido</v>
      </c>
      <c r="AE12" s="161">
        <f>IFERROR(VLOOKUP(AD12,'FE Movilidad'!$E$6:$G$66,2,FALSE)," ")</f>
        <v>8.5007334228187917E-2</v>
      </c>
      <c r="AF12" s="165">
        <f t="shared" si="2"/>
        <v>4.2503667114093959</v>
      </c>
      <c r="AG12" s="165">
        <f t="shared" si="3"/>
        <v>4.2503667114093959</v>
      </c>
      <c r="AH12" s="153" t="str">
        <f>IFERROR(IF((O12="Autobús urbano"),('FE Movilidad'!$G$76/1000),(VLOOKUP(O12,'FE Movilidad'!$B$74:$D$80,2,FALSE)))," ")</f>
        <v xml:space="preserve"> </v>
      </c>
      <c r="AI12" s="153" t="str">
        <f t="shared" si="4"/>
        <v xml:space="preserve"> </v>
      </c>
    </row>
    <row r="13" spans="1:35" x14ac:dyDescent="0.3">
      <c r="B13" s="103">
        <v>4</v>
      </c>
      <c r="C13" s="35"/>
      <c r="D13" s="35"/>
      <c r="E13" s="35"/>
      <c r="F13" s="35"/>
      <c r="G13" s="35"/>
      <c r="H13" s="35"/>
      <c r="I13" s="35"/>
      <c r="J13" s="35"/>
      <c r="K13" s="52" t="s">
        <v>176</v>
      </c>
      <c r="L13" s="50"/>
      <c r="M13" s="51" t="s">
        <v>177</v>
      </c>
      <c r="N13" s="55">
        <v>50</v>
      </c>
      <c r="O13" s="53" t="s">
        <v>172</v>
      </c>
      <c r="P13" s="57">
        <v>50</v>
      </c>
      <c r="Q13" s="11"/>
      <c r="R13" s="11"/>
      <c r="S13" s="11"/>
      <c r="T13" s="11"/>
      <c r="U13" s="11"/>
      <c r="V13" s="11"/>
      <c r="Z13" s="160" t="str">
        <f>IFERROR((VLOOKUP(E13,'FE Movilidad'!$B$73:$D$80,2,FALSE))*'Mov. audiencia'!F13," ")</f>
        <v xml:space="preserve"> </v>
      </c>
      <c r="AA13" s="160">
        <f>IFERROR(G13*'FE Movilidad'!$E$140," ")</f>
        <v>0</v>
      </c>
      <c r="AB13" s="160" t="str">
        <f t="shared" si="0"/>
        <v/>
      </c>
      <c r="AC13" s="160" t="str">
        <f>IFERROR(VLOOKUP(AB13,'FE Movilidad'!$E$123:$G$134,3,FALSE)*'Mov. audiencia'!J13," ")</f>
        <v xml:space="preserve"> </v>
      </c>
      <c r="AD13" s="160" t="str">
        <f t="shared" si="1"/>
        <v>AutobúsGasóleo (l)</v>
      </c>
      <c r="AE13" s="161">
        <f>IFERROR(VLOOKUP(AD13,'FE Movilidad'!$E$6:$G$66,2,FALSE)," ")</f>
        <v>2.528</v>
      </c>
      <c r="AF13" s="165">
        <f t="shared" si="2"/>
        <v>126.4</v>
      </c>
      <c r="AG13" s="165">
        <f t="shared" si="3"/>
        <v>126.4</v>
      </c>
      <c r="AH13" s="153">
        <f>IFERROR(IF((O13="Autobús urbano"),('FE Movilidad'!$G$76/1000),(VLOOKUP(O13,'FE Movilidad'!$B$74:$D$80,2,FALSE)))," ")</f>
        <v>7.4749999999999997E-2</v>
      </c>
      <c r="AI13" s="153">
        <f t="shared" si="4"/>
        <v>3.7374999999999998</v>
      </c>
    </row>
    <row r="14" spans="1:35" x14ac:dyDescent="0.3">
      <c r="B14" s="103">
        <v>5</v>
      </c>
      <c r="C14" s="35"/>
      <c r="D14" s="35"/>
      <c r="E14" s="35"/>
      <c r="F14" s="35"/>
      <c r="G14" s="35"/>
      <c r="H14" s="35"/>
      <c r="I14" s="35"/>
      <c r="J14" s="35"/>
      <c r="K14" s="52"/>
      <c r="L14" s="50"/>
      <c r="M14" s="51"/>
      <c r="N14" s="55"/>
      <c r="O14" s="53" t="s">
        <v>178</v>
      </c>
      <c r="P14" s="57"/>
      <c r="Q14" s="11"/>
      <c r="R14" s="11"/>
      <c r="S14" s="11"/>
      <c r="T14" s="11"/>
      <c r="U14" s="11"/>
      <c r="V14" s="11"/>
      <c r="Z14" s="160" t="str">
        <f>IFERROR((VLOOKUP(E14,'FE Movilidad'!$B$73:$D$80,2,FALSE))*'Mov. audiencia'!F14," ")</f>
        <v xml:space="preserve"> </v>
      </c>
      <c r="AA14" s="160">
        <f>IFERROR(G14*'FE Movilidad'!$E$140," ")</f>
        <v>0</v>
      </c>
      <c r="AB14" s="160" t="str">
        <f t="shared" si="0"/>
        <v/>
      </c>
      <c r="AC14" s="160" t="str">
        <f>IFERROR(VLOOKUP(AB14,'FE Movilidad'!$E$123:$G$134,3,FALSE)*'Mov. audiencia'!J14," ")</f>
        <v xml:space="preserve"> </v>
      </c>
      <c r="AD14" s="160" t="str">
        <f t="shared" si="1"/>
        <v/>
      </c>
      <c r="AE14" s="161" t="str">
        <f>IFERROR(VLOOKUP(AD14,'FE Movilidad'!$E$6:$G$66,2,FALSE)," ")</f>
        <v xml:space="preserve"> </v>
      </c>
      <c r="AF14" s="165" t="str">
        <f t="shared" si="2"/>
        <v xml:space="preserve"> </v>
      </c>
      <c r="AG14" s="165" t="str">
        <f t="shared" si="3"/>
        <v xml:space="preserve"> </v>
      </c>
      <c r="AH14" s="153">
        <f>IFERROR(IF((O14="Autobús urbano"),('FE Movilidad'!$G$76/1000),(VLOOKUP(O14,'FE Movilidad'!$B$74:$D$80,2,FALSE)))," ")</f>
        <v>2.8029999999999999E-2</v>
      </c>
      <c r="AI14" s="153">
        <f t="shared" si="4"/>
        <v>0</v>
      </c>
    </row>
    <row r="15" spans="1:35" x14ac:dyDescent="0.3">
      <c r="B15" s="103">
        <v>6</v>
      </c>
      <c r="C15" s="35"/>
      <c r="D15" s="35"/>
      <c r="E15" s="35"/>
      <c r="F15" s="35"/>
      <c r="G15" s="35"/>
      <c r="H15" s="35"/>
      <c r="I15" s="35"/>
      <c r="J15" s="35"/>
      <c r="K15" s="52"/>
      <c r="L15" s="50"/>
      <c r="M15" s="51"/>
      <c r="N15" s="55"/>
      <c r="O15" s="53"/>
      <c r="P15" s="57"/>
      <c r="Q15" s="11"/>
      <c r="R15" s="11"/>
      <c r="S15" s="11"/>
      <c r="T15" s="11"/>
      <c r="U15" s="11"/>
      <c r="V15" s="11"/>
      <c r="Z15" s="160" t="str">
        <f>IFERROR((VLOOKUP(E15,'FE Movilidad'!$B$73:$D$80,2,FALSE))*'Mov. audiencia'!F15," ")</f>
        <v xml:space="preserve"> </v>
      </c>
      <c r="AA15" s="160">
        <f>IFERROR(G15*'FE Movilidad'!$E$140," ")</f>
        <v>0</v>
      </c>
      <c r="AB15" s="160" t="str">
        <f t="shared" si="0"/>
        <v/>
      </c>
      <c r="AC15" s="160" t="str">
        <f>IFERROR(VLOOKUP(AB15,'FE Movilidad'!$E$123:$G$134,3,FALSE)*'Mov. audiencia'!J15," ")</f>
        <v xml:space="preserve"> </v>
      </c>
      <c r="AD15" s="160" t="str">
        <f t="shared" si="1"/>
        <v/>
      </c>
      <c r="AE15" s="161" t="str">
        <f>IFERROR(VLOOKUP(AD15,'FE Movilidad'!$E$6:$G$66,2,FALSE)," ")</f>
        <v xml:space="preserve"> </v>
      </c>
      <c r="AF15" s="165" t="str">
        <f t="shared" si="2"/>
        <v xml:space="preserve"> </v>
      </c>
      <c r="AG15" s="165" t="str">
        <f t="shared" si="3"/>
        <v xml:space="preserve"> </v>
      </c>
      <c r="AH15" s="153" t="str">
        <f>IFERROR(IF((O15="Autobús urbano"),('FE Movilidad'!$G$76/1000),(VLOOKUP(O15,'FE Movilidad'!$B$74:$D$80,2,FALSE)))," ")</f>
        <v xml:space="preserve"> </v>
      </c>
      <c r="AI15" s="153" t="str">
        <f t="shared" si="4"/>
        <v xml:space="preserve"> </v>
      </c>
    </row>
    <row r="16" spans="1:35" x14ac:dyDescent="0.3">
      <c r="B16" s="103">
        <v>7</v>
      </c>
      <c r="C16" s="35"/>
      <c r="D16" s="35"/>
      <c r="E16" s="35"/>
      <c r="F16" s="35"/>
      <c r="G16" s="35"/>
      <c r="H16" s="35"/>
      <c r="I16" s="35"/>
      <c r="J16" s="35"/>
      <c r="K16" s="52"/>
      <c r="L16" s="50"/>
      <c r="M16" s="51"/>
      <c r="N16" s="55"/>
      <c r="O16" s="53"/>
      <c r="P16" s="57"/>
      <c r="Q16" s="11"/>
      <c r="R16" s="11"/>
      <c r="S16" s="11"/>
      <c r="T16" s="11"/>
      <c r="U16" s="11"/>
      <c r="V16" s="11"/>
      <c r="Z16" s="160" t="str">
        <f>IFERROR((VLOOKUP(E16,'FE Movilidad'!$B$73:$D$80,2,FALSE))*'Mov. audiencia'!F16," ")</f>
        <v xml:space="preserve"> </v>
      </c>
      <c r="AA16" s="160">
        <f>IFERROR(G16*'FE Movilidad'!$E$140," ")</f>
        <v>0</v>
      </c>
      <c r="AB16" s="160" t="str">
        <f t="shared" si="0"/>
        <v/>
      </c>
      <c r="AC16" s="160" t="str">
        <f>IFERROR(VLOOKUP(AB16,'FE Movilidad'!$E$123:$G$134,3,FALSE)*'Mov. audiencia'!J16," ")</f>
        <v xml:space="preserve"> </v>
      </c>
      <c r="AD16" s="160" t="str">
        <f t="shared" si="1"/>
        <v/>
      </c>
      <c r="AE16" s="161" t="str">
        <f>IFERROR(VLOOKUP(AD16,'FE Movilidad'!$E$6:$G$66,2,FALSE)," ")</f>
        <v xml:space="preserve"> </v>
      </c>
      <c r="AF16" s="165" t="str">
        <f t="shared" si="2"/>
        <v xml:space="preserve"> </v>
      </c>
      <c r="AG16" s="165" t="str">
        <f t="shared" si="3"/>
        <v xml:space="preserve"> </v>
      </c>
      <c r="AH16" s="153" t="str">
        <f>IFERROR(IF((O16="Autobús urbano"),('FE Movilidad'!$G$76/1000),(VLOOKUP(O16,'FE Movilidad'!$B$74:$D$80,2,FALSE)))," ")</f>
        <v xml:space="preserve"> </v>
      </c>
      <c r="AI16" s="153" t="str">
        <f t="shared" si="4"/>
        <v xml:space="preserve"> </v>
      </c>
    </row>
    <row r="17" spans="2:35" x14ac:dyDescent="0.3">
      <c r="B17" s="103">
        <v>8</v>
      </c>
      <c r="C17" s="35"/>
      <c r="D17" s="35"/>
      <c r="E17" s="35"/>
      <c r="F17" s="35"/>
      <c r="G17" s="35"/>
      <c r="H17" s="35"/>
      <c r="I17" s="35"/>
      <c r="J17" s="35"/>
      <c r="K17" s="52"/>
      <c r="L17" s="50"/>
      <c r="M17" s="51"/>
      <c r="N17" s="55"/>
      <c r="O17" s="53"/>
      <c r="P17" s="57"/>
      <c r="Q17" s="11"/>
      <c r="R17" s="11"/>
      <c r="S17" s="11"/>
      <c r="T17" s="11"/>
      <c r="U17" s="11"/>
      <c r="V17" s="11"/>
      <c r="Z17" s="160" t="str">
        <f>IFERROR((VLOOKUP(E17,'FE Movilidad'!$B$73:$D$80,2,FALSE))*'Mov. audiencia'!F17," ")</f>
        <v xml:space="preserve"> </v>
      </c>
      <c r="AA17" s="160">
        <f>IFERROR(G17*'FE Movilidad'!$E$140," ")</f>
        <v>0</v>
      </c>
      <c r="AB17" s="160" t="str">
        <f t="shared" si="0"/>
        <v/>
      </c>
      <c r="AC17" s="160" t="str">
        <f>IFERROR(VLOOKUP(AB17,'FE Movilidad'!$E$123:$G$134,3,FALSE)*'Mov. audiencia'!J17," ")</f>
        <v xml:space="preserve"> </v>
      </c>
      <c r="AD17" s="160" t="str">
        <f t="shared" si="1"/>
        <v/>
      </c>
      <c r="AE17" s="161" t="str">
        <f>IFERROR(VLOOKUP(AD17,'FE Movilidad'!$E$6:$G$66,2,FALSE)," ")</f>
        <v xml:space="preserve"> </v>
      </c>
      <c r="AF17" s="165" t="str">
        <f t="shared" si="2"/>
        <v xml:space="preserve"> </v>
      </c>
      <c r="AG17" s="165" t="str">
        <f t="shared" si="3"/>
        <v xml:space="preserve"> </v>
      </c>
      <c r="AH17" s="153" t="str">
        <f>IFERROR(IF((O17="Autobús urbano"),('FE Movilidad'!$G$76/1000),(VLOOKUP(O17,'FE Movilidad'!$B$74:$D$80,2,FALSE)))," ")</f>
        <v xml:space="preserve"> </v>
      </c>
      <c r="AI17" s="153" t="str">
        <f t="shared" si="4"/>
        <v xml:space="preserve"> </v>
      </c>
    </row>
    <row r="18" spans="2:35" x14ac:dyDescent="0.3">
      <c r="B18" s="103">
        <v>9</v>
      </c>
      <c r="C18" s="35"/>
      <c r="D18" s="35"/>
      <c r="E18" s="35"/>
      <c r="F18" s="35"/>
      <c r="G18" s="35"/>
      <c r="H18" s="35"/>
      <c r="I18" s="35"/>
      <c r="J18" s="35"/>
      <c r="K18" s="52"/>
      <c r="L18" s="50"/>
      <c r="M18" s="51"/>
      <c r="N18" s="55"/>
      <c r="O18" s="53"/>
      <c r="P18" s="57"/>
      <c r="Q18" s="11"/>
      <c r="R18" s="11"/>
      <c r="S18" s="11"/>
      <c r="T18" s="11"/>
      <c r="U18" s="11"/>
      <c r="V18" s="11"/>
      <c r="Z18" s="160" t="str">
        <f>IFERROR((VLOOKUP(E18,'FE Movilidad'!$B$73:$D$80,2,FALSE))*'Mov. audiencia'!F18," ")</f>
        <v xml:space="preserve"> </v>
      </c>
      <c r="AA18" s="160">
        <f>IFERROR(G18*'FE Movilidad'!$E$140," ")</f>
        <v>0</v>
      </c>
      <c r="AB18" s="160" t="str">
        <f t="shared" si="0"/>
        <v/>
      </c>
      <c r="AC18" s="160" t="str">
        <f>IFERROR(VLOOKUP(AB18,'FE Movilidad'!$E$123:$G$134,3,FALSE)*'Mov. audiencia'!J18," ")</f>
        <v xml:space="preserve"> </v>
      </c>
      <c r="AD18" s="160" t="str">
        <f t="shared" si="1"/>
        <v/>
      </c>
      <c r="AE18" s="161" t="str">
        <f>IFERROR(VLOOKUP(AD18,'FE Movilidad'!$E$6:$G$66,2,FALSE)," ")</f>
        <v xml:space="preserve"> </v>
      </c>
      <c r="AF18" s="165" t="str">
        <f t="shared" si="2"/>
        <v xml:space="preserve"> </v>
      </c>
      <c r="AG18" s="165" t="str">
        <f t="shared" si="3"/>
        <v xml:space="preserve"> </v>
      </c>
      <c r="AH18" s="153" t="str">
        <f>IFERROR(IF((O18="Autobús urbano"),('FE Movilidad'!$G$76/1000),(VLOOKUP(O18,'FE Movilidad'!$B$74:$D$80,2,FALSE)))," ")</f>
        <v xml:space="preserve"> </v>
      </c>
      <c r="AI18" s="153" t="str">
        <f t="shared" si="4"/>
        <v xml:space="preserve"> </v>
      </c>
    </row>
    <row r="19" spans="2:35" x14ac:dyDescent="0.3">
      <c r="B19" s="103">
        <v>10</v>
      </c>
      <c r="C19" s="35"/>
      <c r="D19" s="35"/>
      <c r="E19" s="35"/>
      <c r="F19" s="35"/>
      <c r="G19" s="35"/>
      <c r="H19" s="35"/>
      <c r="I19" s="35"/>
      <c r="J19" s="35"/>
      <c r="K19" s="52"/>
      <c r="L19" s="50"/>
      <c r="M19" s="51"/>
      <c r="N19" s="55"/>
      <c r="O19" s="53"/>
      <c r="P19" s="57"/>
      <c r="Q19" s="11"/>
      <c r="R19" s="11"/>
      <c r="S19" s="11"/>
      <c r="T19" s="11"/>
      <c r="U19" s="11"/>
      <c r="V19" s="11"/>
      <c r="Z19" s="160" t="str">
        <f>IFERROR((VLOOKUP(E19,'FE Movilidad'!$B$73:$D$80,2,FALSE))*'Mov. audiencia'!F19," ")</f>
        <v xml:space="preserve"> </v>
      </c>
      <c r="AA19" s="160">
        <f>IFERROR(G19*'FE Movilidad'!$E$140," ")</f>
        <v>0</v>
      </c>
      <c r="AB19" s="160" t="str">
        <f t="shared" si="0"/>
        <v/>
      </c>
      <c r="AC19" s="160" t="str">
        <f>IFERROR(VLOOKUP(AB19,'FE Movilidad'!$E$123:$G$134,3,FALSE)*'Mov. audiencia'!J19," ")</f>
        <v xml:space="preserve"> </v>
      </c>
      <c r="AD19" s="160" t="str">
        <f t="shared" si="1"/>
        <v/>
      </c>
      <c r="AE19" s="161" t="str">
        <f>IFERROR(VLOOKUP(AD19,'FE Movilidad'!$E$6:$G$66,2,FALSE)," ")</f>
        <v xml:space="preserve"> </v>
      </c>
      <c r="AF19" s="165" t="str">
        <f t="shared" si="2"/>
        <v xml:space="preserve"> </v>
      </c>
      <c r="AG19" s="165" t="str">
        <f t="shared" si="3"/>
        <v xml:space="preserve"> </v>
      </c>
      <c r="AH19" s="153" t="str">
        <f>IFERROR(IF((O19="Autobús urbano"),('FE Movilidad'!$G$76/1000),(VLOOKUP(O19,'FE Movilidad'!$B$74:$D$80,2,FALSE)))," ")</f>
        <v xml:space="preserve"> </v>
      </c>
      <c r="AI19" s="153" t="str">
        <f t="shared" si="4"/>
        <v xml:space="preserve"> </v>
      </c>
    </row>
    <row r="20" spans="2:35" x14ac:dyDescent="0.3">
      <c r="B20" s="103">
        <v>11</v>
      </c>
      <c r="C20" s="35"/>
      <c r="D20" s="35"/>
      <c r="E20" s="35"/>
      <c r="F20" s="35"/>
      <c r="G20" s="35"/>
      <c r="H20" s="35"/>
      <c r="I20" s="35"/>
      <c r="J20" s="35"/>
      <c r="K20" s="52"/>
      <c r="L20" s="50"/>
      <c r="M20" s="51"/>
      <c r="N20" s="55"/>
      <c r="O20" s="53"/>
      <c r="P20" s="57"/>
      <c r="Q20" s="11"/>
      <c r="R20" s="11"/>
      <c r="S20" s="11"/>
      <c r="T20" s="11"/>
      <c r="U20" s="11"/>
      <c r="V20" s="11"/>
      <c r="Z20" s="160" t="str">
        <f>IFERROR((VLOOKUP(E20,'FE Movilidad'!$B$73:$D$80,2,FALSE))*'Mov. audiencia'!F20," ")</f>
        <v xml:space="preserve"> </v>
      </c>
      <c r="AA20" s="160">
        <f>IFERROR(G20*'FE Movilidad'!$E$140," ")</f>
        <v>0</v>
      </c>
      <c r="AB20" s="160" t="str">
        <f t="shared" si="0"/>
        <v/>
      </c>
      <c r="AC20" s="160" t="str">
        <f>IFERROR(VLOOKUP(AB20,'FE Movilidad'!$E$123:$G$134,3,FALSE)*'Mov. audiencia'!J20," ")</f>
        <v xml:space="preserve"> </v>
      </c>
      <c r="AD20" s="160" t="str">
        <f t="shared" si="1"/>
        <v/>
      </c>
      <c r="AE20" s="161" t="str">
        <f>IFERROR(VLOOKUP(AD20,'FE Movilidad'!$E$6:$G$66,2,FALSE)," ")</f>
        <v xml:space="preserve"> </v>
      </c>
      <c r="AF20" s="165" t="str">
        <f t="shared" si="2"/>
        <v xml:space="preserve"> </v>
      </c>
      <c r="AG20" s="165" t="str">
        <f t="shared" si="3"/>
        <v xml:space="preserve"> </v>
      </c>
      <c r="AH20" s="153" t="str">
        <f>IFERROR(IF((O20="Autobús urbano"),('FE Movilidad'!$G$76/1000),(VLOOKUP(O20,'FE Movilidad'!$B$74:$D$80,2,FALSE)))," ")</f>
        <v xml:space="preserve"> </v>
      </c>
      <c r="AI20" s="153" t="str">
        <f t="shared" si="4"/>
        <v xml:space="preserve"> </v>
      </c>
    </row>
    <row r="21" spans="2:35" x14ac:dyDescent="0.3">
      <c r="B21" s="103">
        <v>12</v>
      </c>
      <c r="C21" s="35"/>
      <c r="D21" s="35"/>
      <c r="E21" s="35"/>
      <c r="F21" s="35"/>
      <c r="G21" s="35"/>
      <c r="H21" s="35"/>
      <c r="I21" s="35"/>
      <c r="J21" s="35"/>
      <c r="K21" s="52"/>
      <c r="L21" s="50"/>
      <c r="M21" s="51"/>
      <c r="N21" s="55"/>
      <c r="O21" s="53"/>
      <c r="P21" s="57"/>
      <c r="Q21" s="11"/>
      <c r="R21" s="11"/>
      <c r="S21" s="11"/>
      <c r="T21" s="11"/>
      <c r="U21" s="11"/>
      <c r="V21" s="11"/>
      <c r="Z21" s="160" t="str">
        <f>IFERROR((VLOOKUP(E21,'FE Movilidad'!$B$73:$D$80,2,FALSE))*'Mov. audiencia'!F21," ")</f>
        <v xml:space="preserve"> </v>
      </c>
      <c r="AA21" s="160">
        <f>IFERROR(G21*'FE Movilidad'!$E$140," ")</f>
        <v>0</v>
      </c>
      <c r="AB21" s="160" t="str">
        <f t="shared" si="0"/>
        <v/>
      </c>
      <c r="AC21" s="160" t="str">
        <f>IFERROR(VLOOKUP(AB21,'FE Movilidad'!$E$123:$G$134,3,FALSE)*'Mov. audiencia'!J21," ")</f>
        <v xml:space="preserve"> </v>
      </c>
      <c r="AD21" s="160" t="str">
        <f t="shared" si="1"/>
        <v/>
      </c>
      <c r="AE21" s="161" t="str">
        <f>IFERROR(VLOOKUP(AD21,'FE Movilidad'!$E$6:$G$66,2,FALSE)," ")</f>
        <v xml:space="preserve"> </v>
      </c>
      <c r="AF21" s="165" t="str">
        <f t="shared" si="2"/>
        <v xml:space="preserve"> </v>
      </c>
      <c r="AG21" s="165" t="str">
        <f t="shared" si="3"/>
        <v xml:space="preserve"> </v>
      </c>
      <c r="AH21" s="153" t="str">
        <f>IFERROR(IF((O21="Autobús urbano"),('FE Movilidad'!$G$76/1000),(VLOOKUP(O21,'FE Movilidad'!$B$74:$D$80,2,FALSE)))," ")</f>
        <v xml:space="preserve"> </v>
      </c>
      <c r="AI21" s="153" t="str">
        <f t="shared" si="4"/>
        <v xml:space="preserve"> </v>
      </c>
    </row>
    <row r="22" spans="2:35" x14ac:dyDescent="0.3">
      <c r="B22" s="103">
        <v>13</v>
      </c>
      <c r="C22" s="35"/>
      <c r="D22" s="35"/>
      <c r="E22" s="35"/>
      <c r="F22" s="35"/>
      <c r="G22" s="35"/>
      <c r="H22" s="35"/>
      <c r="I22" s="35"/>
      <c r="J22" s="35"/>
      <c r="K22" s="52"/>
      <c r="L22" s="50"/>
      <c r="M22" s="51"/>
      <c r="N22" s="55"/>
      <c r="O22" s="53"/>
      <c r="P22" s="57"/>
      <c r="Q22" s="11"/>
      <c r="R22" s="11"/>
      <c r="S22" s="11"/>
      <c r="T22" s="11"/>
      <c r="U22" s="11"/>
      <c r="V22" s="11"/>
      <c r="Z22" s="160" t="str">
        <f>IFERROR((VLOOKUP(E22,'FE Movilidad'!$B$73:$D$80,2,FALSE))*'Mov. audiencia'!F22," ")</f>
        <v xml:space="preserve"> </v>
      </c>
      <c r="AA22" s="160">
        <f>IFERROR(G22*'FE Movilidad'!$E$140," ")</f>
        <v>0</v>
      </c>
      <c r="AB22" s="160" t="str">
        <f t="shared" si="0"/>
        <v/>
      </c>
      <c r="AC22" s="160" t="str">
        <f>IFERROR(VLOOKUP(AB22,'FE Movilidad'!$E$123:$G$134,3,FALSE)*'Mov. audiencia'!J22," ")</f>
        <v xml:space="preserve"> </v>
      </c>
      <c r="AD22" s="160" t="str">
        <f t="shared" si="1"/>
        <v/>
      </c>
      <c r="AE22" s="161" t="str">
        <f>IFERROR(VLOOKUP(AD22,'FE Movilidad'!$E$6:$G$66,2,FALSE)," ")</f>
        <v xml:space="preserve"> </v>
      </c>
      <c r="AF22" s="165" t="str">
        <f t="shared" si="2"/>
        <v xml:space="preserve"> </v>
      </c>
      <c r="AG22" s="165" t="str">
        <f t="shared" si="3"/>
        <v xml:space="preserve"> </v>
      </c>
      <c r="AH22" s="153" t="str">
        <f>IFERROR(IF((O22="Autobús urbano"),('FE Movilidad'!$G$76/1000),(VLOOKUP(O22,'FE Movilidad'!$B$74:$D$80,2,FALSE)))," ")</f>
        <v xml:space="preserve"> </v>
      </c>
      <c r="AI22" s="153" t="str">
        <f t="shared" si="4"/>
        <v xml:space="preserve"> </v>
      </c>
    </row>
    <row r="23" spans="2:35" x14ac:dyDescent="0.3">
      <c r="B23" s="103">
        <v>14</v>
      </c>
      <c r="C23" s="35"/>
      <c r="D23" s="35"/>
      <c r="E23" s="35"/>
      <c r="F23" s="35"/>
      <c r="G23" s="35"/>
      <c r="H23" s="35"/>
      <c r="I23" s="35"/>
      <c r="J23" s="35"/>
      <c r="K23" s="52"/>
      <c r="L23" s="50"/>
      <c r="M23" s="51"/>
      <c r="N23" s="55"/>
      <c r="O23" s="53"/>
      <c r="P23" s="57"/>
      <c r="Q23" s="11"/>
      <c r="R23" s="11"/>
      <c r="S23" s="11"/>
      <c r="T23" s="11"/>
      <c r="U23" s="11"/>
      <c r="V23" s="11"/>
      <c r="Z23" s="160" t="str">
        <f>IFERROR((VLOOKUP(E23,'FE Movilidad'!$B$73:$D$80,2,FALSE))*'Mov. audiencia'!F23," ")</f>
        <v xml:space="preserve"> </v>
      </c>
      <c r="AA23" s="160">
        <f>IFERROR(G23*'FE Movilidad'!$E$140," ")</f>
        <v>0</v>
      </c>
      <c r="AB23" s="160" t="str">
        <f t="shared" si="0"/>
        <v/>
      </c>
      <c r="AC23" s="160" t="str">
        <f>IFERROR(VLOOKUP(AB23,'FE Movilidad'!$E$123:$G$134,3,FALSE)*'Mov. audiencia'!J23," ")</f>
        <v xml:space="preserve"> </v>
      </c>
      <c r="AD23" s="160" t="str">
        <f t="shared" si="1"/>
        <v/>
      </c>
      <c r="AE23" s="161" t="str">
        <f>IFERROR(VLOOKUP(AD23,'FE Movilidad'!$E$6:$G$66,2,FALSE)," ")</f>
        <v xml:space="preserve"> </v>
      </c>
      <c r="AF23" s="165" t="str">
        <f t="shared" si="2"/>
        <v xml:space="preserve"> </v>
      </c>
      <c r="AG23" s="165" t="str">
        <f t="shared" si="3"/>
        <v xml:space="preserve"> </v>
      </c>
      <c r="AH23" s="153" t="str">
        <f>IFERROR(IF((O23="Autobús urbano"),('FE Movilidad'!$G$76/1000),(VLOOKUP(O23,'FE Movilidad'!$B$74:$D$80,2,FALSE)))," ")</f>
        <v xml:space="preserve"> </v>
      </c>
      <c r="AI23" s="153" t="str">
        <f t="shared" si="4"/>
        <v xml:space="preserve"> </v>
      </c>
    </row>
    <row r="24" spans="2:35" x14ac:dyDescent="0.3">
      <c r="B24" s="103">
        <v>15</v>
      </c>
      <c r="C24" s="35"/>
      <c r="D24" s="35"/>
      <c r="E24" s="35"/>
      <c r="F24" s="35"/>
      <c r="G24" s="35"/>
      <c r="H24" s="35"/>
      <c r="I24" s="35"/>
      <c r="J24" s="35"/>
      <c r="K24" s="52"/>
      <c r="L24" s="50"/>
      <c r="M24" s="51"/>
      <c r="N24" s="55"/>
      <c r="O24" s="53"/>
      <c r="P24" s="57"/>
      <c r="Q24" s="11"/>
      <c r="R24" s="11"/>
      <c r="S24" s="11"/>
      <c r="T24" s="11"/>
      <c r="U24" s="11"/>
      <c r="V24" s="11"/>
      <c r="Z24" s="160" t="str">
        <f>IFERROR((VLOOKUP(E24,'FE Movilidad'!$B$73:$D$80,2,FALSE))*'Mov. audiencia'!F24," ")</f>
        <v xml:space="preserve"> </v>
      </c>
      <c r="AA24" s="160">
        <f>IFERROR(G24*'FE Movilidad'!$E$140," ")</f>
        <v>0</v>
      </c>
      <c r="AB24" s="160" t="str">
        <f t="shared" si="0"/>
        <v/>
      </c>
      <c r="AC24" s="160" t="str">
        <f>IFERROR(VLOOKUP(AB24,'FE Movilidad'!$E$123:$G$134,3,FALSE)*'Mov. audiencia'!J24," ")</f>
        <v xml:space="preserve"> </v>
      </c>
      <c r="AD24" s="160" t="str">
        <f t="shared" si="1"/>
        <v/>
      </c>
      <c r="AE24" s="161" t="str">
        <f>IFERROR(VLOOKUP(AD24,'FE Movilidad'!$E$6:$G$66,2,FALSE)," ")</f>
        <v xml:space="preserve"> </v>
      </c>
      <c r="AF24" s="165" t="str">
        <f t="shared" si="2"/>
        <v xml:space="preserve"> </v>
      </c>
      <c r="AG24" s="165" t="str">
        <f t="shared" si="3"/>
        <v xml:space="preserve"> </v>
      </c>
      <c r="AH24" s="153" t="str">
        <f>IFERROR(IF((O24="Autobús urbano"),('FE Movilidad'!$G$76/1000),(VLOOKUP(O24,'FE Movilidad'!$B$74:$D$80,2,FALSE)))," ")</f>
        <v xml:space="preserve"> </v>
      </c>
      <c r="AI24" s="153" t="str">
        <f t="shared" si="4"/>
        <v xml:space="preserve"> </v>
      </c>
    </row>
    <row r="25" spans="2:35" x14ac:dyDescent="0.3">
      <c r="B25" s="103">
        <v>16</v>
      </c>
      <c r="C25" s="35"/>
      <c r="D25" s="35"/>
      <c r="E25" s="35"/>
      <c r="F25" s="35"/>
      <c r="G25" s="35"/>
      <c r="H25" s="35"/>
      <c r="I25" s="35"/>
      <c r="J25" s="35"/>
      <c r="K25" s="52"/>
      <c r="L25" s="50"/>
      <c r="M25" s="51"/>
      <c r="N25" s="55"/>
      <c r="O25" s="53"/>
      <c r="P25" s="57"/>
      <c r="Q25" s="11"/>
      <c r="R25" s="11"/>
      <c r="S25" s="11"/>
      <c r="T25" s="11"/>
      <c r="U25" s="11"/>
      <c r="V25" s="11"/>
      <c r="Z25" s="160" t="str">
        <f>IFERROR((VLOOKUP(E25,'FE Movilidad'!$B$73:$D$80,2,FALSE))*'Mov. audiencia'!F25," ")</f>
        <v xml:space="preserve"> </v>
      </c>
      <c r="AA25" s="160">
        <f>IFERROR(G25*'FE Movilidad'!$E$140," ")</f>
        <v>0</v>
      </c>
      <c r="AB25" s="160" t="str">
        <f t="shared" si="0"/>
        <v/>
      </c>
      <c r="AC25" s="160" t="str">
        <f>IFERROR(VLOOKUP(AB25,'FE Movilidad'!$E$123:$G$134,3,FALSE)*'Mov. audiencia'!J25," ")</f>
        <v xml:space="preserve"> </v>
      </c>
      <c r="AD25" s="160" t="str">
        <f t="shared" si="1"/>
        <v/>
      </c>
      <c r="AE25" s="161" t="str">
        <f>IFERROR(VLOOKUP(AD25,'FE Movilidad'!$E$6:$G$66,2,FALSE)," ")</f>
        <v xml:space="preserve"> </v>
      </c>
      <c r="AF25" s="165" t="str">
        <f t="shared" si="2"/>
        <v xml:space="preserve"> </v>
      </c>
      <c r="AG25" s="165" t="str">
        <f t="shared" si="3"/>
        <v xml:space="preserve"> </v>
      </c>
      <c r="AH25" s="153" t="str">
        <f>IFERROR(IF((O25="Autobús urbano"),('FE Movilidad'!$G$76/1000),(VLOOKUP(O25,'FE Movilidad'!$B$74:$D$80,2,FALSE)))," ")</f>
        <v xml:space="preserve"> </v>
      </c>
      <c r="AI25" s="153" t="str">
        <f t="shared" si="4"/>
        <v xml:space="preserve"> </v>
      </c>
    </row>
    <row r="26" spans="2:35" x14ac:dyDescent="0.3">
      <c r="B26" s="103">
        <v>17</v>
      </c>
      <c r="C26" s="35"/>
      <c r="D26" s="35"/>
      <c r="E26" s="35"/>
      <c r="F26" s="35"/>
      <c r="G26" s="35"/>
      <c r="H26" s="35"/>
      <c r="I26" s="35"/>
      <c r="J26" s="35"/>
      <c r="K26" s="52"/>
      <c r="L26" s="50"/>
      <c r="M26" s="51"/>
      <c r="N26" s="55"/>
      <c r="O26" s="53"/>
      <c r="P26" s="57"/>
      <c r="Q26" s="11"/>
      <c r="R26" s="11"/>
      <c r="S26" s="11"/>
      <c r="T26" s="11"/>
      <c r="U26" s="11"/>
      <c r="V26" s="11"/>
      <c r="Z26" s="160" t="str">
        <f>IFERROR((VLOOKUP(E26,'FE Movilidad'!$B$73:$D$80,2,FALSE))*'Mov. audiencia'!F26," ")</f>
        <v xml:space="preserve"> </v>
      </c>
      <c r="AA26" s="160">
        <f>IFERROR(G26*'FE Movilidad'!$E$140," ")</f>
        <v>0</v>
      </c>
      <c r="AB26" s="160" t="str">
        <f t="shared" si="0"/>
        <v/>
      </c>
      <c r="AC26" s="160" t="str">
        <f>IFERROR(VLOOKUP(AB26,'FE Movilidad'!$E$123:$G$134,3,FALSE)*'Mov. audiencia'!J26," ")</f>
        <v xml:space="preserve"> </v>
      </c>
      <c r="AD26" s="160" t="str">
        <f t="shared" si="1"/>
        <v/>
      </c>
      <c r="AE26" s="161" t="str">
        <f>IFERROR(VLOOKUP(AD26,'FE Movilidad'!$E$6:$G$66,2,FALSE)," ")</f>
        <v xml:space="preserve"> </v>
      </c>
      <c r="AF26" s="165" t="str">
        <f t="shared" si="2"/>
        <v xml:space="preserve"> </v>
      </c>
      <c r="AG26" s="165" t="str">
        <f t="shared" si="3"/>
        <v xml:space="preserve"> </v>
      </c>
      <c r="AH26" s="153" t="str">
        <f>IFERROR(IF((O26="Autobús urbano"),('FE Movilidad'!$G$76/1000),(VLOOKUP(O26,'FE Movilidad'!$B$74:$D$80,2,FALSE)))," ")</f>
        <v xml:space="preserve"> </v>
      </c>
      <c r="AI26" s="153" t="str">
        <f t="shared" si="4"/>
        <v xml:space="preserve"> </v>
      </c>
    </row>
    <row r="27" spans="2:35" x14ac:dyDescent="0.3">
      <c r="B27" s="103">
        <v>18</v>
      </c>
      <c r="C27" s="35"/>
      <c r="D27" s="35"/>
      <c r="E27" s="35"/>
      <c r="F27" s="35"/>
      <c r="G27" s="35"/>
      <c r="H27" s="35"/>
      <c r="I27" s="35"/>
      <c r="J27" s="35"/>
      <c r="K27" s="52"/>
      <c r="L27" s="50"/>
      <c r="M27" s="51"/>
      <c r="N27" s="55"/>
      <c r="O27" s="53"/>
      <c r="P27" s="57"/>
      <c r="Q27" s="11"/>
      <c r="R27" s="11"/>
      <c r="S27" s="11"/>
      <c r="T27" s="11"/>
      <c r="U27" s="11"/>
      <c r="V27" s="11"/>
      <c r="Z27" s="160" t="str">
        <f>IFERROR((VLOOKUP(E27,'FE Movilidad'!$B$73:$D$80,2,FALSE))*'Mov. audiencia'!F27," ")</f>
        <v xml:space="preserve"> </v>
      </c>
      <c r="AA27" s="160">
        <f>IFERROR(G27*'FE Movilidad'!$E$140," ")</f>
        <v>0</v>
      </c>
      <c r="AB27" s="160" t="str">
        <f t="shared" si="0"/>
        <v/>
      </c>
      <c r="AC27" s="160" t="str">
        <f>IFERROR(VLOOKUP(AB27,'FE Movilidad'!$E$123:$G$134,3,FALSE)*'Mov. audiencia'!J27," ")</f>
        <v xml:space="preserve"> </v>
      </c>
      <c r="AD27" s="160" t="str">
        <f t="shared" si="1"/>
        <v/>
      </c>
      <c r="AE27" s="161" t="str">
        <f>IFERROR(VLOOKUP(AD27,'FE Movilidad'!$E$6:$G$66,2,FALSE)," ")</f>
        <v xml:space="preserve"> </v>
      </c>
      <c r="AF27" s="165" t="str">
        <f t="shared" si="2"/>
        <v xml:space="preserve"> </v>
      </c>
      <c r="AG27" s="165" t="str">
        <f t="shared" si="3"/>
        <v xml:space="preserve"> </v>
      </c>
      <c r="AH27" s="153" t="str">
        <f>IFERROR(IF((O27="Autobús urbano"),('FE Movilidad'!$G$76/1000),(VLOOKUP(O27,'FE Movilidad'!$B$74:$D$80,2,FALSE)))," ")</f>
        <v xml:space="preserve"> </v>
      </c>
      <c r="AI27" s="153" t="str">
        <f t="shared" si="4"/>
        <v xml:space="preserve"> </v>
      </c>
    </row>
    <row r="28" spans="2:35" x14ac:dyDescent="0.3">
      <c r="B28" s="103">
        <v>19</v>
      </c>
      <c r="C28" s="35"/>
      <c r="D28" s="35"/>
      <c r="E28" s="35"/>
      <c r="F28" s="35"/>
      <c r="G28" s="35"/>
      <c r="H28" s="35"/>
      <c r="I28" s="35"/>
      <c r="J28" s="35"/>
      <c r="K28" s="52"/>
      <c r="L28" s="50"/>
      <c r="M28" s="51"/>
      <c r="N28" s="55"/>
      <c r="O28" s="53"/>
      <c r="P28" s="57"/>
      <c r="Q28" s="11"/>
      <c r="R28" s="11"/>
      <c r="S28" s="11"/>
      <c r="T28" s="11"/>
      <c r="U28" s="11"/>
      <c r="V28" s="11"/>
      <c r="Z28" s="160" t="str">
        <f>IFERROR((VLOOKUP(E28,'FE Movilidad'!$B$73:$D$80,2,FALSE))*'Mov. audiencia'!F28," ")</f>
        <v xml:space="preserve"> </v>
      </c>
      <c r="AA28" s="160">
        <f>IFERROR(G28*'FE Movilidad'!$E$140," ")</f>
        <v>0</v>
      </c>
      <c r="AB28" s="160" t="str">
        <f t="shared" si="0"/>
        <v/>
      </c>
      <c r="AC28" s="160" t="str">
        <f>IFERROR(VLOOKUP(AB28,'FE Movilidad'!$E$123:$G$134,3,FALSE)*'Mov. audiencia'!J28," ")</f>
        <v xml:space="preserve"> </v>
      </c>
      <c r="AD28" s="160" t="str">
        <f t="shared" si="1"/>
        <v/>
      </c>
      <c r="AE28" s="161" t="str">
        <f>IFERROR(VLOOKUP(AD28,'FE Movilidad'!$E$6:$G$66,2,FALSE)," ")</f>
        <v xml:space="preserve"> </v>
      </c>
      <c r="AF28" s="165" t="str">
        <f t="shared" si="2"/>
        <v xml:space="preserve"> </v>
      </c>
      <c r="AG28" s="165" t="str">
        <f t="shared" si="3"/>
        <v xml:space="preserve"> </v>
      </c>
      <c r="AH28" s="153" t="str">
        <f>IFERROR(IF((O28="Autobús urbano"),('FE Movilidad'!$G$76/1000),(VLOOKUP(O28,'FE Movilidad'!$B$74:$D$80,2,FALSE)))," ")</f>
        <v xml:space="preserve"> </v>
      </c>
      <c r="AI28" s="153" t="str">
        <f t="shared" si="4"/>
        <v xml:space="preserve"> </v>
      </c>
    </row>
    <row r="29" spans="2:35" x14ac:dyDescent="0.3">
      <c r="B29" s="103">
        <v>20</v>
      </c>
      <c r="C29" s="35"/>
      <c r="D29" s="35"/>
      <c r="E29" s="35"/>
      <c r="F29" s="35"/>
      <c r="G29" s="35"/>
      <c r="H29" s="35"/>
      <c r="I29" s="35"/>
      <c r="J29" s="35"/>
      <c r="K29" s="52"/>
      <c r="L29" s="50"/>
      <c r="M29" s="51"/>
      <c r="N29" s="55"/>
      <c r="O29" s="53"/>
      <c r="P29" s="57"/>
      <c r="Q29" s="11"/>
      <c r="R29" s="11"/>
      <c r="S29" s="11"/>
      <c r="T29" s="11"/>
      <c r="U29" s="11"/>
      <c r="V29" s="11"/>
      <c r="Z29" s="160" t="str">
        <f>IFERROR((VLOOKUP(E29,'FE Movilidad'!$B$73:$D$80,2,FALSE))*'Mov. audiencia'!F29," ")</f>
        <v xml:space="preserve"> </v>
      </c>
      <c r="AA29" s="160">
        <f>IFERROR(G29*'FE Movilidad'!$E$140," ")</f>
        <v>0</v>
      </c>
      <c r="AB29" s="160" t="str">
        <f t="shared" si="0"/>
        <v/>
      </c>
      <c r="AC29" s="160" t="str">
        <f>IFERROR(VLOOKUP(AB29,'FE Movilidad'!$E$123:$G$134,3,FALSE)*'Mov. audiencia'!J29," ")</f>
        <v xml:space="preserve"> </v>
      </c>
      <c r="AD29" s="160" t="str">
        <f t="shared" si="1"/>
        <v/>
      </c>
      <c r="AE29" s="161" t="str">
        <f>IFERROR(VLOOKUP(AD29,'FE Movilidad'!$E$6:$G$66,2,FALSE)," ")</f>
        <v xml:space="preserve"> </v>
      </c>
      <c r="AF29" s="165" t="str">
        <f t="shared" si="2"/>
        <v xml:space="preserve"> </v>
      </c>
      <c r="AG29" s="165" t="str">
        <f t="shared" si="3"/>
        <v xml:space="preserve"> </v>
      </c>
      <c r="AH29" s="153" t="str">
        <f>IFERROR(IF((O29="Autobús urbano"),('FE Movilidad'!$G$76/1000),(VLOOKUP(O29,'FE Movilidad'!$B$74:$D$80,2,FALSE)))," ")</f>
        <v xml:space="preserve"> </v>
      </c>
      <c r="AI29" s="153" t="str">
        <f t="shared" si="4"/>
        <v xml:space="preserve"> </v>
      </c>
    </row>
    <row r="30" spans="2:35" x14ac:dyDescent="0.3">
      <c r="B30" s="103">
        <v>21</v>
      </c>
      <c r="C30" s="35"/>
      <c r="D30" s="35"/>
      <c r="E30" s="35"/>
      <c r="F30" s="35"/>
      <c r="G30" s="35"/>
      <c r="H30" s="35"/>
      <c r="I30" s="35"/>
      <c r="J30" s="35"/>
      <c r="K30" s="52"/>
      <c r="L30" s="50"/>
      <c r="M30" s="51"/>
      <c r="N30" s="55"/>
      <c r="O30" s="53"/>
      <c r="P30" s="57"/>
      <c r="Q30" s="11"/>
      <c r="R30" s="11"/>
      <c r="S30" s="11"/>
      <c r="T30" s="11"/>
      <c r="U30" s="11"/>
      <c r="V30" s="11"/>
      <c r="Z30" s="160" t="str">
        <f>IFERROR((VLOOKUP(E30,'FE Movilidad'!$B$73:$D$80,2,FALSE))*'Mov. audiencia'!F30," ")</f>
        <v xml:space="preserve"> </v>
      </c>
      <c r="AA30" s="160">
        <f>IFERROR(G30*'FE Movilidad'!$E$140," ")</f>
        <v>0</v>
      </c>
      <c r="AB30" s="160" t="str">
        <f t="shared" si="0"/>
        <v/>
      </c>
      <c r="AC30" s="160" t="str">
        <f>IFERROR(VLOOKUP(AB30,'FE Movilidad'!$E$123:$G$134,3,FALSE)*'Mov. audiencia'!J30," ")</f>
        <v xml:space="preserve"> </v>
      </c>
      <c r="AD30" s="160" t="str">
        <f t="shared" si="1"/>
        <v/>
      </c>
      <c r="AE30" s="161" t="str">
        <f>IFERROR(VLOOKUP(AD30,'FE Movilidad'!$E$6:$G$66,2,FALSE)," ")</f>
        <v xml:space="preserve"> </v>
      </c>
      <c r="AF30" s="165" t="str">
        <f t="shared" si="2"/>
        <v xml:space="preserve"> </v>
      </c>
      <c r="AG30" s="165" t="str">
        <f t="shared" si="3"/>
        <v xml:space="preserve"> </v>
      </c>
      <c r="AH30" s="153" t="str">
        <f>IFERROR(IF((O30="Autobús urbano"),('FE Movilidad'!$G$76/1000),(VLOOKUP(O30,'FE Movilidad'!$B$74:$D$80,2,FALSE)))," ")</f>
        <v xml:space="preserve"> </v>
      </c>
      <c r="AI30" s="153" t="str">
        <f t="shared" si="4"/>
        <v xml:space="preserve"> </v>
      </c>
    </row>
    <row r="31" spans="2:35" x14ac:dyDescent="0.3">
      <c r="B31" s="103">
        <v>22</v>
      </c>
      <c r="C31" s="35"/>
      <c r="D31" s="35"/>
      <c r="E31" s="35"/>
      <c r="F31" s="35"/>
      <c r="G31" s="35"/>
      <c r="H31" s="35"/>
      <c r="I31" s="35"/>
      <c r="J31" s="35"/>
      <c r="K31" s="52"/>
      <c r="L31" s="50"/>
      <c r="M31" s="51"/>
      <c r="N31" s="55"/>
      <c r="O31" s="53"/>
      <c r="P31" s="57"/>
      <c r="Q31" s="11"/>
      <c r="R31" s="11"/>
      <c r="S31" s="11"/>
      <c r="T31" s="11"/>
      <c r="U31" s="11"/>
      <c r="V31" s="11"/>
      <c r="Z31" s="160" t="str">
        <f>IFERROR((VLOOKUP(E31,'FE Movilidad'!$B$73:$D$80,2,FALSE))*'Mov. audiencia'!F31," ")</f>
        <v xml:space="preserve"> </v>
      </c>
      <c r="AA31" s="160">
        <f>IFERROR(G31*'FE Movilidad'!$E$140," ")</f>
        <v>0</v>
      </c>
      <c r="AB31" s="160" t="str">
        <f t="shared" si="0"/>
        <v/>
      </c>
      <c r="AC31" s="160" t="str">
        <f>IFERROR(VLOOKUP(AB31,'FE Movilidad'!$E$123:$G$134,3,FALSE)*'Mov. audiencia'!J31," ")</f>
        <v xml:space="preserve"> </v>
      </c>
      <c r="AD31" s="160" t="str">
        <f t="shared" si="1"/>
        <v/>
      </c>
      <c r="AE31" s="161" t="str">
        <f>IFERROR(VLOOKUP(AD31,'FE Movilidad'!$E$6:$G$66,2,FALSE)," ")</f>
        <v xml:space="preserve"> </v>
      </c>
      <c r="AF31" s="165" t="str">
        <f t="shared" si="2"/>
        <v xml:space="preserve"> </v>
      </c>
      <c r="AG31" s="165" t="str">
        <f t="shared" si="3"/>
        <v xml:space="preserve"> </v>
      </c>
      <c r="AH31" s="153" t="str">
        <f>IFERROR(IF((O31="Autobús urbano"),('FE Movilidad'!$G$76/1000),(VLOOKUP(O31,'FE Movilidad'!$B$74:$D$80,2,FALSE)))," ")</f>
        <v xml:space="preserve"> </v>
      </c>
      <c r="AI31" s="153" t="str">
        <f t="shared" si="4"/>
        <v xml:space="preserve"> </v>
      </c>
    </row>
    <row r="32" spans="2:35" x14ac:dyDescent="0.3">
      <c r="B32" s="103">
        <v>23</v>
      </c>
      <c r="C32" s="35"/>
      <c r="D32" s="35"/>
      <c r="E32" s="35"/>
      <c r="F32" s="35"/>
      <c r="G32" s="35"/>
      <c r="H32" s="35"/>
      <c r="I32" s="35"/>
      <c r="J32" s="35"/>
      <c r="K32" s="52"/>
      <c r="L32" s="50"/>
      <c r="M32" s="51"/>
      <c r="N32" s="55"/>
      <c r="O32" s="53"/>
      <c r="P32" s="57"/>
      <c r="Q32" s="11"/>
      <c r="R32" s="11"/>
      <c r="S32" s="11"/>
      <c r="T32" s="11"/>
      <c r="U32" s="11"/>
      <c r="V32" s="11"/>
      <c r="Z32" s="160" t="str">
        <f>IFERROR((VLOOKUP(E32,'FE Movilidad'!$B$73:$D$80,2,FALSE))*'Mov. audiencia'!F32," ")</f>
        <v xml:space="preserve"> </v>
      </c>
      <c r="AA32" s="160">
        <f>IFERROR(G32*'FE Movilidad'!$E$140," ")</f>
        <v>0</v>
      </c>
      <c r="AB32" s="160" t="str">
        <f t="shared" si="0"/>
        <v/>
      </c>
      <c r="AC32" s="160" t="str">
        <f>IFERROR(VLOOKUP(AB32,'FE Movilidad'!$E$123:$G$134,3,FALSE)*'Mov. audiencia'!J32," ")</f>
        <v xml:space="preserve"> </v>
      </c>
      <c r="AD32" s="160" t="str">
        <f t="shared" si="1"/>
        <v/>
      </c>
      <c r="AE32" s="161" t="str">
        <f>IFERROR(VLOOKUP(AD32,'FE Movilidad'!$E$6:$G$66,2,FALSE)," ")</f>
        <v xml:space="preserve"> </v>
      </c>
      <c r="AF32" s="165" t="str">
        <f t="shared" si="2"/>
        <v xml:space="preserve"> </v>
      </c>
      <c r="AG32" s="165" t="str">
        <f t="shared" si="3"/>
        <v xml:space="preserve"> </v>
      </c>
      <c r="AH32" s="153" t="str">
        <f>IFERROR(IF((O32="Autobús urbano"),('FE Movilidad'!$G$76/1000),(VLOOKUP(O32,'FE Movilidad'!$B$74:$D$80,2,FALSE)))," ")</f>
        <v xml:space="preserve"> </v>
      </c>
      <c r="AI32" s="153" t="str">
        <f t="shared" si="4"/>
        <v xml:space="preserve"> </v>
      </c>
    </row>
    <row r="33" spans="2:35" x14ac:dyDescent="0.3">
      <c r="B33" s="103">
        <v>24</v>
      </c>
      <c r="C33" s="35"/>
      <c r="D33" s="35"/>
      <c r="E33" s="35"/>
      <c r="F33" s="35"/>
      <c r="G33" s="35"/>
      <c r="H33" s="35"/>
      <c r="I33" s="35"/>
      <c r="J33" s="35"/>
      <c r="K33" s="52"/>
      <c r="L33" s="50"/>
      <c r="M33" s="51"/>
      <c r="N33" s="56"/>
      <c r="O33" s="53"/>
      <c r="P33" s="57"/>
      <c r="Q33" s="11"/>
      <c r="R33" s="11"/>
      <c r="S33" s="11"/>
      <c r="T33" s="11"/>
      <c r="U33" s="11"/>
      <c r="V33" s="11"/>
      <c r="Z33" s="160" t="str">
        <f>IFERROR((VLOOKUP(E33,'FE Movilidad'!$B$73:$D$80,2,FALSE))*'Mov. audiencia'!F33," ")</f>
        <v xml:space="preserve"> </v>
      </c>
      <c r="AA33" s="160">
        <f>IFERROR(G33*'FE Movilidad'!$E$140," ")</f>
        <v>0</v>
      </c>
      <c r="AB33" s="160" t="str">
        <f t="shared" si="0"/>
        <v/>
      </c>
      <c r="AC33" s="160" t="str">
        <f>IFERROR(VLOOKUP(AB33,'FE Movilidad'!$E$123:$G$134,3,FALSE)*'Mov. audiencia'!J33," ")</f>
        <v xml:space="preserve"> </v>
      </c>
      <c r="AD33" s="160" t="str">
        <f t="shared" si="1"/>
        <v/>
      </c>
      <c r="AE33" s="161" t="str">
        <f>IFERROR(VLOOKUP(AD33,'FE Movilidad'!$E$6:$G$66,2,FALSE)," ")</f>
        <v xml:space="preserve"> </v>
      </c>
      <c r="AF33" s="165" t="str">
        <f t="shared" si="2"/>
        <v xml:space="preserve"> </v>
      </c>
      <c r="AG33" s="165" t="str">
        <f t="shared" si="3"/>
        <v xml:space="preserve"> </v>
      </c>
      <c r="AH33" s="153" t="str">
        <f>IFERROR(IF((O33="Autobús urbano"),('FE Movilidad'!$G$76/1000),(VLOOKUP(O33,'FE Movilidad'!$B$74:$D$80,2,FALSE)))," ")</f>
        <v xml:space="preserve"> </v>
      </c>
      <c r="AI33" s="153" t="str">
        <f t="shared" si="4"/>
        <v xml:space="preserve"> </v>
      </c>
    </row>
    <row r="34" spans="2:35" x14ac:dyDescent="0.3">
      <c r="B34" s="103">
        <v>25</v>
      </c>
      <c r="C34" s="35"/>
      <c r="D34" s="35"/>
      <c r="E34" s="35"/>
      <c r="F34" s="35"/>
      <c r="G34" s="35"/>
      <c r="H34" s="35"/>
      <c r="I34" s="35"/>
      <c r="J34" s="35"/>
      <c r="K34" s="52"/>
      <c r="L34" s="50"/>
      <c r="M34" s="51"/>
      <c r="N34" s="55"/>
      <c r="O34" s="53"/>
      <c r="P34" s="57"/>
      <c r="Q34" s="11"/>
      <c r="R34" s="11"/>
      <c r="S34" s="11"/>
      <c r="T34" s="11"/>
      <c r="U34" s="11"/>
      <c r="V34" s="11"/>
      <c r="Z34" s="160" t="str">
        <f>IFERROR((VLOOKUP(E34,'FE Movilidad'!$B$73:$D$80,2,FALSE))*'Mov. audiencia'!F34," ")</f>
        <v xml:space="preserve"> </v>
      </c>
      <c r="AA34" s="160">
        <f>IFERROR(G34*'FE Movilidad'!$E$140," ")</f>
        <v>0</v>
      </c>
      <c r="AB34" s="160" t="str">
        <f t="shared" si="0"/>
        <v/>
      </c>
      <c r="AC34" s="160" t="str">
        <f>IFERROR(VLOOKUP(AB34,'FE Movilidad'!$E$123:$G$134,3,FALSE)*'Mov. audiencia'!J34," ")</f>
        <v xml:space="preserve"> </v>
      </c>
      <c r="AD34" s="160" t="str">
        <f t="shared" si="1"/>
        <v/>
      </c>
      <c r="AE34" s="161" t="str">
        <f>IFERROR(VLOOKUP(AD34,'FE Movilidad'!$E$6:$G$66,2,FALSE)," ")</f>
        <v xml:space="preserve"> </v>
      </c>
      <c r="AF34" s="165" t="str">
        <f t="shared" si="2"/>
        <v xml:space="preserve"> </v>
      </c>
      <c r="AG34" s="165" t="str">
        <f t="shared" si="3"/>
        <v xml:space="preserve"> </v>
      </c>
      <c r="AH34" s="153" t="str">
        <f>IFERROR(IF((O34="Autobús urbano"),('FE Movilidad'!$G$76/1000),(VLOOKUP(O34,'FE Movilidad'!$B$74:$D$80,2,FALSE)))," ")</f>
        <v xml:space="preserve"> </v>
      </c>
      <c r="AI34" s="153" t="str">
        <f t="shared" si="4"/>
        <v xml:space="preserve"> </v>
      </c>
    </row>
    <row r="35" spans="2:35" ht="14.4" customHeight="1" x14ac:dyDescent="0.3">
      <c r="B35" s="103">
        <v>26</v>
      </c>
      <c r="C35" s="35"/>
      <c r="D35" s="35"/>
      <c r="E35" s="35"/>
      <c r="F35" s="35"/>
      <c r="G35" s="35"/>
      <c r="H35" s="35"/>
      <c r="I35" s="35"/>
      <c r="J35" s="35"/>
      <c r="K35" s="52"/>
      <c r="L35" s="50"/>
      <c r="M35" s="51"/>
      <c r="N35" s="55"/>
      <c r="O35" s="53"/>
      <c r="P35" s="57"/>
      <c r="Z35" s="160" t="str">
        <f>IFERROR((VLOOKUP(E35,'FE Movilidad'!$B$73:$D$80,2,FALSE))*'Mov. audiencia'!F35," ")</f>
        <v xml:space="preserve"> </v>
      </c>
      <c r="AA35" s="160">
        <f>IFERROR(G35*'FE Movilidad'!$E$140," ")</f>
        <v>0</v>
      </c>
      <c r="AB35" s="160" t="str">
        <f t="shared" si="0"/>
        <v/>
      </c>
      <c r="AC35" s="160" t="str">
        <f>IFERROR(VLOOKUP(AB35,'FE Movilidad'!$E$123:$G$134,3,FALSE)*'Mov. audiencia'!J35," ")</f>
        <v xml:space="preserve"> </v>
      </c>
      <c r="AD35" s="160" t="str">
        <f t="shared" si="1"/>
        <v/>
      </c>
      <c r="AE35" s="161" t="str">
        <f>IFERROR(VLOOKUP(AD35,'FE Movilidad'!$E$6:$G$66,2,FALSE)," ")</f>
        <v xml:space="preserve"> </v>
      </c>
      <c r="AF35" s="165" t="str">
        <f t="shared" si="2"/>
        <v xml:space="preserve"> </v>
      </c>
      <c r="AG35" s="165" t="str">
        <f t="shared" si="3"/>
        <v xml:space="preserve"> </v>
      </c>
      <c r="AH35" s="153" t="str">
        <f>IFERROR(IF((O35="Autobús urbano"),('FE Movilidad'!$G$76/1000),(VLOOKUP(O35,'FE Movilidad'!$B$74:$D$80,2,FALSE)))," ")</f>
        <v xml:space="preserve"> </v>
      </c>
      <c r="AI35" s="153" t="str">
        <f t="shared" si="4"/>
        <v xml:space="preserve"> </v>
      </c>
    </row>
    <row r="36" spans="2:35" x14ac:dyDescent="0.3">
      <c r="B36" s="103">
        <v>27</v>
      </c>
      <c r="C36" s="35"/>
      <c r="D36" s="35"/>
      <c r="E36" s="35"/>
      <c r="F36" s="35"/>
      <c r="G36" s="35"/>
      <c r="H36" s="35"/>
      <c r="I36" s="35"/>
      <c r="J36" s="35"/>
      <c r="K36" s="52"/>
      <c r="L36" s="50"/>
      <c r="M36" s="51"/>
      <c r="N36" s="55"/>
      <c r="O36" s="53"/>
      <c r="P36" s="57"/>
      <c r="Z36" s="160" t="str">
        <f>IFERROR((VLOOKUP(E36,'FE Movilidad'!$B$73:$D$80,2,FALSE))*'Mov. audiencia'!F36," ")</f>
        <v xml:space="preserve"> </v>
      </c>
      <c r="AA36" s="160">
        <f>IFERROR(G36*'FE Movilidad'!$E$140," ")</f>
        <v>0</v>
      </c>
      <c r="AB36" s="160" t="str">
        <f t="shared" si="0"/>
        <v/>
      </c>
      <c r="AC36" s="160" t="str">
        <f>IFERROR(VLOOKUP(AB36,'FE Movilidad'!$E$123:$G$134,3,FALSE)*'Mov. audiencia'!J36," ")</f>
        <v xml:space="preserve"> </v>
      </c>
      <c r="AD36" s="160" t="str">
        <f t="shared" si="1"/>
        <v/>
      </c>
      <c r="AE36" s="161" t="str">
        <f>IFERROR(VLOOKUP(AD36,'FE Movilidad'!$E$6:$G$66,2,FALSE)," ")</f>
        <v xml:space="preserve"> </v>
      </c>
      <c r="AF36" s="165" t="str">
        <f t="shared" si="2"/>
        <v xml:space="preserve"> </v>
      </c>
      <c r="AG36" s="165" t="str">
        <f t="shared" si="3"/>
        <v xml:space="preserve"> </v>
      </c>
      <c r="AH36" s="153" t="str">
        <f>IFERROR(IF((O36="Autobús urbano"),('FE Movilidad'!$G$76/1000),(VLOOKUP(O36,'FE Movilidad'!$B$74:$D$80,2,FALSE)))," ")</f>
        <v xml:space="preserve"> </v>
      </c>
      <c r="AI36" s="153" t="str">
        <f t="shared" si="4"/>
        <v xml:space="preserve"> </v>
      </c>
    </row>
    <row r="37" spans="2:35" x14ac:dyDescent="0.3">
      <c r="B37" s="103">
        <v>28</v>
      </c>
      <c r="C37" s="35"/>
      <c r="D37" s="35"/>
      <c r="E37" s="35"/>
      <c r="F37" s="35"/>
      <c r="G37" s="35"/>
      <c r="H37" s="35"/>
      <c r="I37" s="35"/>
      <c r="J37" s="35"/>
      <c r="K37" s="52"/>
      <c r="L37" s="50"/>
      <c r="M37" s="51"/>
      <c r="N37" s="55"/>
      <c r="O37" s="53"/>
      <c r="P37" s="57"/>
      <c r="Z37" s="160" t="str">
        <f>IFERROR((VLOOKUP(E37,'FE Movilidad'!$B$73:$D$80,2,FALSE))*'Mov. audiencia'!F37," ")</f>
        <v xml:space="preserve"> </v>
      </c>
      <c r="AA37" s="160">
        <f>IFERROR(G37*'FE Movilidad'!$E$140," ")</f>
        <v>0</v>
      </c>
      <c r="AB37" s="160" t="str">
        <f t="shared" si="0"/>
        <v/>
      </c>
      <c r="AC37" s="160" t="str">
        <f>IFERROR(VLOOKUP(AB37,'FE Movilidad'!$E$123:$G$134,3,FALSE)*'Mov. audiencia'!J37," ")</f>
        <v xml:space="preserve"> </v>
      </c>
      <c r="AD37" s="160" t="str">
        <f t="shared" si="1"/>
        <v/>
      </c>
      <c r="AE37" s="161" t="str">
        <f>IFERROR(VLOOKUP(AD37,'FE Movilidad'!$E$6:$G$66,2,FALSE)," ")</f>
        <v xml:space="preserve"> </v>
      </c>
      <c r="AF37" s="165" t="str">
        <f t="shared" si="2"/>
        <v xml:space="preserve"> </v>
      </c>
      <c r="AG37" s="165" t="str">
        <f t="shared" si="3"/>
        <v xml:space="preserve"> </v>
      </c>
      <c r="AH37" s="153" t="str">
        <f>IFERROR(IF((O37="Autobús urbano"),('FE Movilidad'!$G$76/1000),(VLOOKUP(O37,'FE Movilidad'!$B$74:$D$80,2,FALSE)))," ")</f>
        <v xml:space="preserve"> </v>
      </c>
      <c r="AI37" s="153" t="str">
        <f t="shared" si="4"/>
        <v xml:space="preserve"> </v>
      </c>
    </row>
    <row r="38" spans="2:35" x14ac:dyDescent="0.3">
      <c r="B38" s="103">
        <v>29</v>
      </c>
      <c r="C38" s="35"/>
      <c r="D38" s="35"/>
      <c r="E38" s="35"/>
      <c r="F38" s="35"/>
      <c r="G38" s="35"/>
      <c r="H38" s="35"/>
      <c r="I38" s="35"/>
      <c r="J38" s="35"/>
      <c r="K38" s="52"/>
      <c r="L38" s="50"/>
      <c r="M38" s="51"/>
      <c r="N38" s="55"/>
      <c r="O38" s="53"/>
      <c r="P38" s="57"/>
      <c r="Z38" s="160" t="str">
        <f>IFERROR((VLOOKUP(E38,'FE Movilidad'!$B$73:$D$80,2,FALSE))*'Mov. audiencia'!F38," ")</f>
        <v xml:space="preserve"> </v>
      </c>
      <c r="AA38" s="160">
        <f>IFERROR(G38*'FE Movilidad'!$E$140," ")</f>
        <v>0</v>
      </c>
      <c r="AB38" s="160" t="str">
        <f t="shared" si="0"/>
        <v/>
      </c>
      <c r="AC38" s="160" t="str">
        <f>IFERROR(VLOOKUP(AB38,'FE Movilidad'!$E$123:$G$134,3,FALSE)*'Mov. audiencia'!J38," ")</f>
        <v xml:space="preserve"> </v>
      </c>
      <c r="AD38" s="160" t="str">
        <f t="shared" si="1"/>
        <v/>
      </c>
      <c r="AE38" s="161" t="str">
        <f>IFERROR(VLOOKUP(AD38,'FE Movilidad'!$E$6:$G$66,2,FALSE)," ")</f>
        <v xml:space="preserve"> </v>
      </c>
      <c r="AF38" s="165" t="str">
        <f t="shared" si="2"/>
        <v xml:space="preserve"> </v>
      </c>
      <c r="AG38" s="165" t="str">
        <f t="shared" si="3"/>
        <v xml:space="preserve"> </v>
      </c>
      <c r="AH38" s="153" t="str">
        <f>IFERROR(IF((O38="Autobús urbano"),('FE Movilidad'!$G$76/1000),(VLOOKUP(O38,'FE Movilidad'!$B$74:$D$80,2,FALSE)))," ")</f>
        <v xml:space="preserve"> </v>
      </c>
      <c r="AI38" s="153" t="str">
        <f t="shared" si="4"/>
        <v xml:space="preserve"> </v>
      </c>
    </row>
    <row r="39" spans="2:35" ht="14.4" customHeight="1" x14ac:dyDescent="0.3">
      <c r="B39" s="103">
        <v>30</v>
      </c>
      <c r="C39" s="35"/>
      <c r="D39" s="35"/>
      <c r="E39" s="35"/>
      <c r="F39" s="35"/>
      <c r="G39" s="35"/>
      <c r="H39" s="35"/>
      <c r="I39" s="35"/>
      <c r="J39" s="35"/>
      <c r="K39" s="52"/>
      <c r="L39" s="50"/>
      <c r="M39" s="51"/>
      <c r="N39" s="55"/>
      <c r="O39" s="53"/>
      <c r="P39" s="57"/>
      <c r="Z39" s="160" t="str">
        <f>IFERROR((VLOOKUP(E39,'FE Movilidad'!$B$73:$D$80,2,FALSE))*'Mov. audiencia'!F39," ")</f>
        <v xml:space="preserve"> </v>
      </c>
      <c r="AA39" s="160">
        <f>IFERROR(G39*'FE Movilidad'!$E$140," ")</f>
        <v>0</v>
      </c>
      <c r="AB39" s="160" t="str">
        <f t="shared" si="0"/>
        <v/>
      </c>
      <c r="AC39" s="160" t="str">
        <f>IFERROR(VLOOKUP(AB39,'FE Movilidad'!$E$123:$G$134,3,FALSE)*'Mov. audiencia'!J39," ")</f>
        <v xml:space="preserve"> </v>
      </c>
      <c r="AD39" s="160" t="str">
        <f t="shared" si="1"/>
        <v/>
      </c>
      <c r="AE39" s="161" t="str">
        <f>IFERROR(VLOOKUP(AD39,'FE Movilidad'!$E$6:$G$66,2,FALSE)," ")</f>
        <v xml:space="preserve"> </v>
      </c>
      <c r="AF39" s="165" t="str">
        <f t="shared" si="2"/>
        <v xml:space="preserve"> </v>
      </c>
      <c r="AG39" s="165" t="str">
        <f t="shared" si="3"/>
        <v xml:space="preserve"> </v>
      </c>
      <c r="AH39" s="153" t="str">
        <f>IFERROR(IF((O39="Autobús urbano"),('FE Movilidad'!$G$76/1000),(VLOOKUP(O39,'FE Movilidad'!$B$74:$D$80,2,FALSE)))," ")</f>
        <v xml:space="preserve"> </v>
      </c>
      <c r="AI39" s="153" t="str">
        <f t="shared" si="4"/>
        <v xml:space="preserve"> </v>
      </c>
    </row>
    <row r="40" spans="2:35" x14ac:dyDescent="0.3">
      <c r="B40" s="103">
        <v>31</v>
      </c>
      <c r="C40" s="35"/>
      <c r="D40" s="35"/>
      <c r="E40" s="35"/>
      <c r="F40" s="35"/>
      <c r="G40" s="35"/>
      <c r="H40" s="35"/>
      <c r="I40" s="35"/>
      <c r="J40" s="35"/>
      <c r="K40" s="52"/>
      <c r="L40" s="50"/>
      <c r="M40" s="51"/>
      <c r="N40" s="55"/>
      <c r="O40" s="53"/>
      <c r="P40" s="57"/>
      <c r="Z40" s="160" t="str">
        <f>IFERROR((VLOOKUP(E40,'FE Movilidad'!$B$73:$D$80,2,FALSE))*'Mov. audiencia'!F40," ")</f>
        <v xml:space="preserve"> </v>
      </c>
      <c r="AA40" s="160">
        <f>IFERROR(G40*'FE Movilidad'!$E$140," ")</f>
        <v>0</v>
      </c>
      <c r="AB40" s="160" t="str">
        <f t="shared" si="0"/>
        <v/>
      </c>
      <c r="AC40" s="160" t="str">
        <f>IFERROR(VLOOKUP(AB40,'FE Movilidad'!$E$123:$G$134,3,FALSE)*'Mov. audiencia'!J40," ")</f>
        <v xml:space="preserve"> </v>
      </c>
      <c r="AD40" s="160" t="str">
        <f t="shared" si="1"/>
        <v/>
      </c>
      <c r="AE40" s="161" t="str">
        <f>IFERROR(VLOOKUP(AD40,'FE Movilidad'!$E$6:$G$66,2,FALSE)," ")</f>
        <v xml:space="preserve"> </v>
      </c>
      <c r="AF40" s="165" t="str">
        <f t="shared" si="2"/>
        <v xml:space="preserve"> </v>
      </c>
      <c r="AG40" s="165" t="str">
        <f t="shared" si="3"/>
        <v xml:space="preserve"> </v>
      </c>
      <c r="AH40" s="153" t="str">
        <f>IFERROR(IF((O40="Autobús urbano"),('FE Movilidad'!$G$76/1000),(VLOOKUP(O40,'FE Movilidad'!$B$74:$D$80,2,FALSE)))," ")</f>
        <v xml:space="preserve"> </v>
      </c>
      <c r="AI40" s="153" t="str">
        <f t="shared" si="4"/>
        <v xml:space="preserve"> </v>
      </c>
    </row>
    <row r="41" spans="2:35" x14ac:dyDescent="0.3">
      <c r="B41" s="103">
        <v>32</v>
      </c>
      <c r="C41" s="35"/>
      <c r="D41" s="35"/>
      <c r="E41" s="35"/>
      <c r="F41" s="35"/>
      <c r="G41" s="35"/>
      <c r="H41" s="35"/>
      <c r="I41" s="35"/>
      <c r="J41" s="35"/>
      <c r="K41" s="52"/>
      <c r="L41" s="50"/>
      <c r="M41" s="51"/>
      <c r="N41" s="55"/>
      <c r="O41" s="53"/>
      <c r="P41" s="57"/>
      <c r="Z41" s="160" t="str">
        <f>IFERROR((VLOOKUP(E41,'FE Movilidad'!$B$73:$D$80,2,FALSE))*'Mov. audiencia'!F41," ")</f>
        <v xml:space="preserve"> </v>
      </c>
      <c r="AA41" s="160">
        <f>IFERROR(G41*'FE Movilidad'!$E$140," ")</f>
        <v>0</v>
      </c>
      <c r="AB41" s="160" t="str">
        <f t="shared" si="0"/>
        <v/>
      </c>
      <c r="AC41" s="160" t="str">
        <f>IFERROR(VLOOKUP(AB41,'FE Movilidad'!$E$123:$G$134,3,FALSE)*'Mov. audiencia'!J41," ")</f>
        <v xml:space="preserve"> </v>
      </c>
      <c r="AD41" s="160" t="str">
        <f t="shared" si="1"/>
        <v/>
      </c>
      <c r="AE41" s="161" t="str">
        <f>IFERROR(VLOOKUP(AD41,'FE Movilidad'!$E$6:$G$66,2,FALSE)," ")</f>
        <v xml:space="preserve"> </v>
      </c>
      <c r="AF41" s="165" t="str">
        <f t="shared" si="2"/>
        <v xml:space="preserve"> </v>
      </c>
      <c r="AG41" s="165" t="str">
        <f t="shared" si="3"/>
        <v xml:space="preserve"> </v>
      </c>
      <c r="AH41" s="153" t="str">
        <f>IFERROR(IF((O41="Autobús urbano"),('FE Movilidad'!$G$76/1000),(VLOOKUP(O41,'FE Movilidad'!$B$74:$D$80,2,FALSE)))," ")</f>
        <v xml:space="preserve"> </v>
      </c>
      <c r="AI41" s="153" t="str">
        <f t="shared" si="4"/>
        <v xml:space="preserve"> </v>
      </c>
    </row>
    <row r="42" spans="2:35" x14ac:dyDescent="0.3">
      <c r="B42" s="103">
        <v>33</v>
      </c>
      <c r="C42" s="35"/>
      <c r="D42" s="35"/>
      <c r="E42" s="35"/>
      <c r="F42" s="35"/>
      <c r="G42" s="35"/>
      <c r="H42" s="35"/>
      <c r="I42" s="35"/>
      <c r="J42" s="35"/>
      <c r="K42" s="52"/>
      <c r="L42" s="50"/>
      <c r="M42" s="51"/>
      <c r="N42" s="55"/>
      <c r="O42" s="53"/>
      <c r="P42" s="57"/>
      <c r="Z42" s="160" t="str">
        <f>IFERROR((VLOOKUP(E42,'FE Movilidad'!$B$73:$D$80,2,FALSE))*'Mov. audiencia'!F42," ")</f>
        <v xml:space="preserve"> </v>
      </c>
      <c r="AA42" s="160">
        <f>IFERROR(G42*'FE Movilidad'!$E$140," ")</f>
        <v>0</v>
      </c>
      <c r="AB42" s="160" t="str">
        <f t="shared" ref="AB42:AB59" si="5">CONCATENATE(H42,I42)</f>
        <v/>
      </c>
      <c r="AC42" s="160" t="str">
        <f>IFERROR(VLOOKUP(AB42,'FE Movilidad'!$E$123:$G$134,3,FALSE)*'Mov. audiencia'!J42," ")</f>
        <v xml:space="preserve"> </v>
      </c>
      <c r="AD42" s="160" t="str">
        <f t="shared" si="1"/>
        <v/>
      </c>
      <c r="AE42" s="161" t="str">
        <f>IFERROR(VLOOKUP(AD42,'FE Movilidad'!$E$6:$G$66,2,FALSE)," ")</f>
        <v xml:space="preserve"> </v>
      </c>
      <c r="AF42" s="165" t="str">
        <f t="shared" si="2"/>
        <v xml:space="preserve"> </v>
      </c>
      <c r="AG42" s="165" t="str">
        <f t="shared" si="3"/>
        <v xml:space="preserve"> </v>
      </c>
      <c r="AH42" s="153" t="str">
        <f>IFERROR(IF((O42="Autobús urbano"),('FE Movilidad'!$G$76/1000),(VLOOKUP(O42,'FE Movilidad'!$B$74:$D$80,2,FALSE)))," ")</f>
        <v xml:space="preserve"> </v>
      </c>
      <c r="AI42" s="153" t="str">
        <f t="shared" si="4"/>
        <v xml:space="preserve"> </v>
      </c>
    </row>
    <row r="43" spans="2:35" x14ac:dyDescent="0.3">
      <c r="B43" s="103">
        <v>34</v>
      </c>
      <c r="C43" s="35"/>
      <c r="D43" s="35"/>
      <c r="E43" s="35"/>
      <c r="F43" s="35"/>
      <c r="G43" s="35"/>
      <c r="H43" s="35"/>
      <c r="I43" s="35"/>
      <c r="J43" s="35"/>
      <c r="K43" s="52"/>
      <c r="L43" s="50"/>
      <c r="M43" s="51"/>
      <c r="N43" s="55"/>
      <c r="O43" s="53"/>
      <c r="P43" s="57"/>
      <c r="Z43" s="160" t="str">
        <f>IFERROR((VLOOKUP(E43,'FE Movilidad'!$B$73:$D$80,2,FALSE))*'Mov. audiencia'!F43," ")</f>
        <v xml:space="preserve"> </v>
      </c>
      <c r="AA43" s="160">
        <f>IFERROR(G43*'FE Movilidad'!$E$140," ")</f>
        <v>0</v>
      </c>
      <c r="AB43" s="160" t="str">
        <f t="shared" si="5"/>
        <v/>
      </c>
      <c r="AC43" s="160" t="str">
        <f>IFERROR(VLOOKUP(AB43,'FE Movilidad'!$E$123:$G$134,3,FALSE)*'Mov. audiencia'!J43," ")</f>
        <v xml:space="preserve"> </v>
      </c>
      <c r="AD43" s="160" t="str">
        <f t="shared" si="1"/>
        <v/>
      </c>
      <c r="AE43" s="161" t="str">
        <f>IFERROR(VLOOKUP(AD43,'FE Movilidad'!$E$6:$G$66,2,FALSE)," ")</f>
        <v xml:space="preserve"> </v>
      </c>
      <c r="AF43" s="165" t="str">
        <f t="shared" si="2"/>
        <v xml:space="preserve"> </v>
      </c>
      <c r="AG43" s="165" t="str">
        <f t="shared" si="3"/>
        <v xml:space="preserve"> </v>
      </c>
      <c r="AH43" s="153" t="str">
        <f>IFERROR(IF((O43="Autobús urbano"),('FE Movilidad'!$G$76/1000),(VLOOKUP(O43,'FE Movilidad'!$B$74:$D$80,2,FALSE)))," ")</f>
        <v xml:space="preserve"> </v>
      </c>
      <c r="AI43" s="153" t="str">
        <f t="shared" si="4"/>
        <v xml:space="preserve"> </v>
      </c>
    </row>
    <row r="44" spans="2:35" x14ac:dyDescent="0.3">
      <c r="B44" s="103">
        <v>35</v>
      </c>
      <c r="C44" s="35"/>
      <c r="D44" s="35"/>
      <c r="E44" s="35"/>
      <c r="F44" s="35"/>
      <c r="G44" s="35"/>
      <c r="H44" s="35"/>
      <c r="I44" s="35"/>
      <c r="J44" s="35"/>
      <c r="K44" s="52"/>
      <c r="L44" s="50"/>
      <c r="M44" s="51"/>
      <c r="N44" s="55"/>
      <c r="O44" s="53"/>
      <c r="P44" s="57"/>
      <c r="Z44" s="160" t="str">
        <f>IFERROR((VLOOKUP(E44,'FE Movilidad'!$B$73:$D$80,2,FALSE))*'Mov. audiencia'!F44," ")</f>
        <v xml:space="preserve"> </v>
      </c>
      <c r="AA44" s="160">
        <f>IFERROR(G44*'FE Movilidad'!$E$140," ")</f>
        <v>0</v>
      </c>
      <c r="AB44" s="160" t="str">
        <f t="shared" si="5"/>
        <v/>
      </c>
      <c r="AC44" s="160" t="str">
        <f>IFERROR(VLOOKUP(AB44,'FE Movilidad'!$E$123:$G$134,3,FALSE)*'Mov. audiencia'!J44," ")</f>
        <v xml:space="preserve"> </v>
      </c>
      <c r="AD44" s="160" t="str">
        <f t="shared" si="1"/>
        <v/>
      </c>
      <c r="AE44" s="161" t="str">
        <f>IFERROR(VLOOKUP(AD44,'FE Movilidad'!$E$6:$G$66,2,FALSE)," ")</f>
        <v xml:space="preserve"> </v>
      </c>
      <c r="AF44" s="165" t="str">
        <f t="shared" si="2"/>
        <v xml:space="preserve"> </v>
      </c>
      <c r="AG44" s="165" t="str">
        <f t="shared" si="3"/>
        <v xml:space="preserve"> </v>
      </c>
      <c r="AH44" s="153" t="str">
        <f>IFERROR(IF((O44="Autobús urbano"),('FE Movilidad'!$G$76/1000),(VLOOKUP(O44,'FE Movilidad'!$B$74:$D$80,2,FALSE)))," ")</f>
        <v xml:space="preserve"> </v>
      </c>
      <c r="AI44" s="153" t="str">
        <f t="shared" si="4"/>
        <v xml:space="preserve"> </v>
      </c>
    </row>
    <row r="45" spans="2:35" x14ac:dyDescent="0.3">
      <c r="B45" s="103">
        <v>36</v>
      </c>
      <c r="C45" s="35"/>
      <c r="D45" s="35"/>
      <c r="E45" s="35"/>
      <c r="F45" s="35"/>
      <c r="G45" s="35"/>
      <c r="H45" s="35"/>
      <c r="I45" s="35"/>
      <c r="J45" s="35"/>
      <c r="K45" s="52"/>
      <c r="L45" s="50"/>
      <c r="M45" s="51"/>
      <c r="N45" s="55"/>
      <c r="O45" s="53"/>
      <c r="P45" s="57"/>
      <c r="Z45" s="160" t="str">
        <f>IFERROR((VLOOKUP(E45,'FE Movilidad'!$B$73:$D$80,2,FALSE))*'Mov. audiencia'!F45," ")</f>
        <v xml:space="preserve"> </v>
      </c>
      <c r="AA45" s="160">
        <f>IFERROR(G45*'FE Movilidad'!$E$140," ")</f>
        <v>0</v>
      </c>
      <c r="AB45" s="160" t="str">
        <f t="shared" si="5"/>
        <v/>
      </c>
      <c r="AC45" s="160" t="str">
        <f>IFERROR(VLOOKUP(AB45,'FE Movilidad'!$E$123:$G$134,3,FALSE)*'Mov. audiencia'!J45," ")</f>
        <v xml:space="preserve"> </v>
      </c>
      <c r="AD45" s="160" t="str">
        <f t="shared" si="1"/>
        <v/>
      </c>
      <c r="AE45" s="161" t="str">
        <f>IFERROR(VLOOKUP(AD45,'FE Movilidad'!$E$6:$G$66,2,FALSE)," ")</f>
        <v xml:space="preserve"> </v>
      </c>
      <c r="AF45" s="165" t="str">
        <f t="shared" si="2"/>
        <v xml:space="preserve"> </v>
      </c>
      <c r="AG45" s="165" t="str">
        <f t="shared" si="3"/>
        <v xml:space="preserve"> </v>
      </c>
      <c r="AH45" s="153" t="str">
        <f>IFERROR(IF((O45="Autobús urbano"),('FE Movilidad'!$G$76/1000),(VLOOKUP(O45,'FE Movilidad'!$B$74:$D$80,2,FALSE)))," ")</f>
        <v xml:space="preserve"> </v>
      </c>
      <c r="AI45" s="153" t="str">
        <f t="shared" si="4"/>
        <v xml:space="preserve"> </v>
      </c>
    </row>
    <row r="46" spans="2:35" x14ac:dyDescent="0.3">
      <c r="B46" s="103">
        <v>37</v>
      </c>
      <c r="C46" s="35"/>
      <c r="D46" s="35"/>
      <c r="E46" s="35"/>
      <c r="F46" s="35"/>
      <c r="G46" s="35"/>
      <c r="H46" s="35"/>
      <c r="I46" s="35"/>
      <c r="J46" s="35"/>
      <c r="K46" s="52"/>
      <c r="L46" s="50"/>
      <c r="M46" s="51"/>
      <c r="N46" s="55"/>
      <c r="O46" s="53"/>
      <c r="P46" s="57"/>
      <c r="Z46" s="160" t="str">
        <f>IFERROR((VLOOKUP(E46,'FE Movilidad'!$B$73:$D$80,2,FALSE))*'Mov. audiencia'!F46," ")</f>
        <v xml:space="preserve"> </v>
      </c>
      <c r="AA46" s="160">
        <f>IFERROR(G46*'FE Movilidad'!$E$140," ")</f>
        <v>0</v>
      </c>
      <c r="AB46" s="160" t="str">
        <f t="shared" si="5"/>
        <v/>
      </c>
      <c r="AC46" s="160" t="str">
        <f>IFERROR(VLOOKUP(AB46,'FE Movilidad'!$E$123:$G$134,3,FALSE)*'Mov. audiencia'!J46," ")</f>
        <v xml:space="preserve"> </v>
      </c>
      <c r="AD46" s="160" t="str">
        <f t="shared" si="1"/>
        <v/>
      </c>
      <c r="AE46" s="161" t="str">
        <f>IFERROR(VLOOKUP(AD46,'FE Movilidad'!$E$6:$G$66,2,FALSE)," ")</f>
        <v xml:space="preserve"> </v>
      </c>
      <c r="AF46" s="165" t="str">
        <f t="shared" si="2"/>
        <v xml:space="preserve"> </v>
      </c>
      <c r="AG46" s="165" t="str">
        <f t="shared" si="3"/>
        <v xml:space="preserve"> </v>
      </c>
      <c r="AH46" s="153" t="str">
        <f>IFERROR(IF((O46="Autobús urbano"),('FE Movilidad'!$G$76/1000),(VLOOKUP(O46,'FE Movilidad'!$B$74:$D$80,2,FALSE)))," ")</f>
        <v xml:space="preserve"> </v>
      </c>
      <c r="AI46" s="153" t="str">
        <f t="shared" si="4"/>
        <v xml:space="preserve"> </v>
      </c>
    </row>
    <row r="47" spans="2:35" x14ac:dyDescent="0.3">
      <c r="B47" s="103">
        <v>38</v>
      </c>
      <c r="C47" s="35"/>
      <c r="D47" s="35"/>
      <c r="E47" s="35"/>
      <c r="F47" s="35"/>
      <c r="G47" s="35"/>
      <c r="H47" s="35"/>
      <c r="I47" s="35"/>
      <c r="J47" s="35"/>
      <c r="K47" s="52"/>
      <c r="L47" s="50"/>
      <c r="M47" s="51"/>
      <c r="N47" s="55"/>
      <c r="O47" s="53"/>
      <c r="P47" s="57"/>
      <c r="Z47" s="160" t="str">
        <f>IFERROR((VLOOKUP(E47,'FE Movilidad'!$B$73:$D$80,2,FALSE))*'Mov. audiencia'!F47," ")</f>
        <v xml:space="preserve"> </v>
      </c>
      <c r="AA47" s="160">
        <f>IFERROR(G47*'FE Movilidad'!$E$140," ")</f>
        <v>0</v>
      </c>
      <c r="AB47" s="160" t="str">
        <f t="shared" si="5"/>
        <v/>
      </c>
      <c r="AC47" s="160" t="str">
        <f>IFERROR(VLOOKUP(AB47,'FE Movilidad'!$E$123:$G$134,3,FALSE)*'Mov. audiencia'!J47," ")</f>
        <v xml:space="preserve"> </v>
      </c>
      <c r="AD47" s="160" t="str">
        <f t="shared" si="1"/>
        <v/>
      </c>
      <c r="AE47" s="161" t="str">
        <f>IFERROR(VLOOKUP(AD47,'FE Movilidad'!$E$6:$G$66,2,FALSE)," ")</f>
        <v xml:space="preserve"> </v>
      </c>
      <c r="AF47" s="165" t="str">
        <f t="shared" si="2"/>
        <v xml:space="preserve"> </v>
      </c>
      <c r="AG47" s="165" t="str">
        <f t="shared" si="3"/>
        <v xml:space="preserve"> </v>
      </c>
      <c r="AH47" s="153" t="str">
        <f>IFERROR(IF((O47="Autobús urbano"),('FE Movilidad'!$G$76/1000),(VLOOKUP(O47,'FE Movilidad'!$B$74:$D$80,2,FALSE)))," ")</f>
        <v xml:space="preserve"> </v>
      </c>
      <c r="AI47" s="153" t="str">
        <f t="shared" si="4"/>
        <v xml:space="preserve"> </v>
      </c>
    </row>
    <row r="48" spans="2:35" x14ac:dyDescent="0.3">
      <c r="B48" s="103">
        <v>39</v>
      </c>
      <c r="C48" s="35"/>
      <c r="D48" s="35"/>
      <c r="E48" s="35"/>
      <c r="F48" s="35"/>
      <c r="G48" s="35"/>
      <c r="H48" s="35"/>
      <c r="I48" s="35"/>
      <c r="J48" s="35"/>
      <c r="K48" s="52"/>
      <c r="L48" s="50"/>
      <c r="M48" s="51"/>
      <c r="N48" s="55"/>
      <c r="O48" s="53"/>
      <c r="P48" s="57"/>
      <c r="Z48" s="160" t="str">
        <f>IFERROR((VLOOKUP(E48,'FE Movilidad'!$B$73:$D$80,2,FALSE))*'Mov. audiencia'!F48," ")</f>
        <v xml:space="preserve"> </v>
      </c>
      <c r="AA48" s="160">
        <f>IFERROR(G48*'FE Movilidad'!$E$140," ")</f>
        <v>0</v>
      </c>
      <c r="AB48" s="160" t="str">
        <f t="shared" si="5"/>
        <v/>
      </c>
      <c r="AC48" s="160" t="str">
        <f>IFERROR(VLOOKUP(AB48,'FE Movilidad'!$E$123:$G$134,3,FALSE)*'Mov. audiencia'!J48," ")</f>
        <v xml:space="preserve"> </v>
      </c>
      <c r="AD48" s="160" t="str">
        <f t="shared" si="1"/>
        <v/>
      </c>
      <c r="AE48" s="161" t="str">
        <f>IFERROR(VLOOKUP(AD48,'FE Movilidad'!$E$6:$G$66,2,FALSE)," ")</f>
        <v xml:space="preserve"> </v>
      </c>
      <c r="AF48" s="165" t="str">
        <f t="shared" si="2"/>
        <v xml:space="preserve"> </v>
      </c>
      <c r="AG48" s="165" t="str">
        <f t="shared" si="3"/>
        <v xml:space="preserve"> </v>
      </c>
      <c r="AH48" s="153" t="str">
        <f>IFERROR(IF((O48="Autobús urbano"),('FE Movilidad'!$G$76/1000),(VLOOKUP(O48,'FE Movilidad'!$B$74:$D$80,2,FALSE)))," ")</f>
        <v xml:space="preserve"> </v>
      </c>
      <c r="AI48" s="153" t="str">
        <f t="shared" si="4"/>
        <v xml:space="preserve"> </v>
      </c>
    </row>
    <row r="49" spans="2:35" x14ac:dyDescent="0.3">
      <c r="B49" s="103">
        <v>40</v>
      </c>
      <c r="C49" s="35"/>
      <c r="D49" s="35"/>
      <c r="E49" s="35"/>
      <c r="F49" s="35"/>
      <c r="G49" s="35"/>
      <c r="H49" s="35"/>
      <c r="I49" s="35"/>
      <c r="J49" s="35"/>
      <c r="K49" s="52"/>
      <c r="L49" s="50"/>
      <c r="M49" s="51"/>
      <c r="N49" s="55"/>
      <c r="O49" s="53"/>
      <c r="P49" s="57"/>
      <c r="Z49" s="160" t="str">
        <f>IFERROR((VLOOKUP(E49,'FE Movilidad'!$B$73:$D$80,2,FALSE))*'Mov. audiencia'!F49," ")</f>
        <v xml:space="preserve"> </v>
      </c>
      <c r="AA49" s="160">
        <f>IFERROR(G49*'FE Movilidad'!$E$140," ")</f>
        <v>0</v>
      </c>
      <c r="AB49" s="160" t="str">
        <f t="shared" si="5"/>
        <v/>
      </c>
      <c r="AC49" s="160" t="str">
        <f>IFERROR(VLOOKUP(AB49,'FE Movilidad'!$E$123:$G$134,3,FALSE)*'Mov. audiencia'!J49," ")</f>
        <v xml:space="preserve"> </v>
      </c>
      <c r="AD49" s="160" t="str">
        <f t="shared" si="1"/>
        <v/>
      </c>
      <c r="AE49" s="161" t="str">
        <f>IFERROR(VLOOKUP(AD49,'FE Movilidad'!$E$6:$G$66,2,FALSE)," ")</f>
        <v xml:space="preserve"> </v>
      </c>
      <c r="AF49" s="165" t="str">
        <f t="shared" si="2"/>
        <v xml:space="preserve"> </v>
      </c>
      <c r="AG49" s="165" t="str">
        <f t="shared" si="3"/>
        <v xml:space="preserve"> </v>
      </c>
      <c r="AH49" s="153" t="str">
        <f>IFERROR(IF((O49="Autobús urbano"),('FE Movilidad'!$G$76/1000),(VLOOKUP(O49,'FE Movilidad'!$B$74:$D$80,2,FALSE)))," ")</f>
        <v xml:space="preserve"> </v>
      </c>
      <c r="AI49" s="153" t="str">
        <f t="shared" si="4"/>
        <v xml:space="preserve"> </v>
      </c>
    </row>
    <row r="50" spans="2:35" x14ac:dyDescent="0.3">
      <c r="B50" s="103">
        <v>41</v>
      </c>
      <c r="C50" s="35"/>
      <c r="D50" s="35"/>
      <c r="E50" s="35"/>
      <c r="F50" s="35"/>
      <c r="G50" s="35"/>
      <c r="H50" s="35"/>
      <c r="I50" s="35"/>
      <c r="J50" s="35"/>
      <c r="K50" s="52"/>
      <c r="L50" s="50"/>
      <c r="M50" s="51"/>
      <c r="N50" s="55"/>
      <c r="O50" s="53"/>
      <c r="P50" s="57"/>
      <c r="Z50" s="160" t="str">
        <f>IFERROR((VLOOKUP(E50,'FE Movilidad'!$B$73:$D$80,2,FALSE))*'Mov. audiencia'!F50," ")</f>
        <v xml:space="preserve"> </v>
      </c>
      <c r="AA50" s="160">
        <f>IFERROR(G50*'FE Movilidad'!$E$140," ")</f>
        <v>0</v>
      </c>
      <c r="AB50" s="160" t="str">
        <f t="shared" si="5"/>
        <v/>
      </c>
      <c r="AC50" s="160" t="str">
        <f>IFERROR(VLOOKUP(AB50,'FE Movilidad'!$E$123:$G$134,3,FALSE)*'Mov. audiencia'!J50," ")</f>
        <v xml:space="preserve"> </v>
      </c>
      <c r="AD50" s="160" t="str">
        <f t="shared" si="1"/>
        <v/>
      </c>
      <c r="AE50" s="161" t="str">
        <f>IFERROR(VLOOKUP(AD50,'FE Movilidad'!$E$6:$G$66,2,FALSE)," ")</f>
        <v xml:space="preserve"> </v>
      </c>
      <c r="AF50" s="165" t="str">
        <f t="shared" si="2"/>
        <v xml:space="preserve"> </v>
      </c>
      <c r="AG50" s="165" t="str">
        <f t="shared" si="3"/>
        <v xml:space="preserve"> </v>
      </c>
      <c r="AH50" s="153" t="str">
        <f>IFERROR(IF((O50="Autobús urbano"),('FE Movilidad'!$G$76/1000),(VLOOKUP(O50,'FE Movilidad'!$B$74:$D$80,2,FALSE)))," ")</f>
        <v xml:space="preserve"> </v>
      </c>
      <c r="AI50" s="153" t="str">
        <f t="shared" si="4"/>
        <v xml:space="preserve"> </v>
      </c>
    </row>
    <row r="51" spans="2:35" x14ac:dyDescent="0.3">
      <c r="B51" s="103">
        <v>42</v>
      </c>
      <c r="C51" s="35"/>
      <c r="D51" s="35"/>
      <c r="E51" s="35"/>
      <c r="F51" s="35"/>
      <c r="G51" s="35"/>
      <c r="H51" s="35"/>
      <c r="I51" s="35"/>
      <c r="J51" s="35"/>
      <c r="K51" s="52"/>
      <c r="L51" s="50"/>
      <c r="M51" s="51"/>
      <c r="N51" s="55"/>
      <c r="O51" s="53"/>
      <c r="P51" s="57"/>
      <c r="Z51" s="160" t="str">
        <f>IFERROR((VLOOKUP(E51,'FE Movilidad'!$B$73:$D$80,2,FALSE))*'Mov. audiencia'!F51," ")</f>
        <v xml:space="preserve"> </v>
      </c>
      <c r="AA51" s="160">
        <f>IFERROR(G51*'FE Movilidad'!$E$140," ")</f>
        <v>0</v>
      </c>
      <c r="AB51" s="160" t="str">
        <f t="shared" si="5"/>
        <v/>
      </c>
      <c r="AC51" s="160" t="str">
        <f>IFERROR(VLOOKUP(AB51,'FE Movilidad'!$E$123:$G$134,3,FALSE)*'Mov. audiencia'!J51," ")</f>
        <v xml:space="preserve"> </v>
      </c>
      <c r="AD51" s="160" t="str">
        <f t="shared" si="1"/>
        <v/>
      </c>
      <c r="AE51" s="161" t="str">
        <f>IFERROR(VLOOKUP(AD51,'FE Movilidad'!$E$6:$G$66,2,FALSE)," ")</f>
        <v xml:space="preserve"> </v>
      </c>
      <c r="AF51" s="165" t="str">
        <f t="shared" si="2"/>
        <v xml:space="preserve"> </v>
      </c>
      <c r="AG51" s="165" t="str">
        <f t="shared" si="3"/>
        <v xml:space="preserve"> </v>
      </c>
      <c r="AH51" s="153" t="str">
        <f>IFERROR(IF((O51="Autobús urbano"),('FE Movilidad'!$G$76/1000),(VLOOKUP(O51,'FE Movilidad'!$B$74:$D$80,2,FALSE)))," ")</f>
        <v xml:space="preserve"> </v>
      </c>
      <c r="AI51" s="153" t="str">
        <f t="shared" si="4"/>
        <v xml:space="preserve"> </v>
      </c>
    </row>
    <row r="52" spans="2:35" x14ac:dyDescent="0.3">
      <c r="B52" s="103">
        <v>43</v>
      </c>
      <c r="C52" s="35"/>
      <c r="D52" s="35"/>
      <c r="E52" s="35"/>
      <c r="F52" s="35"/>
      <c r="G52" s="35"/>
      <c r="H52" s="35"/>
      <c r="I52" s="35"/>
      <c r="J52" s="35"/>
      <c r="K52" s="52"/>
      <c r="L52" s="50"/>
      <c r="M52" s="51"/>
      <c r="N52" s="55"/>
      <c r="O52" s="53"/>
      <c r="P52" s="57"/>
      <c r="Z52" s="160" t="str">
        <f>IFERROR((VLOOKUP(E52,'FE Movilidad'!$B$73:$D$80,2,FALSE))*'Mov. audiencia'!F52," ")</f>
        <v xml:space="preserve"> </v>
      </c>
      <c r="AA52" s="160">
        <f>IFERROR(G52*'FE Movilidad'!$E$140," ")</f>
        <v>0</v>
      </c>
      <c r="AB52" s="160" t="str">
        <f t="shared" si="5"/>
        <v/>
      </c>
      <c r="AC52" s="160" t="str">
        <f>IFERROR(VLOOKUP(AB52,'FE Movilidad'!$E$123:$G$134,3,FALSE)*'Mov. audiencia'!J52," ")</f>
        <v xml:space="preserve"> </v>
      </c>
      <c r="AD52" s="160" t="str">
        <f t="shared" si="1"/>
        <v/>
      </c>
      <c r="AE52" s="161" t="str">
        <f>IFERROR(VLOOKUP(AD52,'FE Movilidad'!$E$6:$G$66,2,FALSE)," ")</f>
        <v xml:space="preserve"> </v>
      </c>
      <c r="AF52" s="165" t="str">
        <f t="shared" si="2"/>
        <v xml:space="preserve"> </v>
      </c>
      <c r="AG52" s="165" t="str">
        <f t="shared" si="3"/>
        <v xml:space="preserve"> </v>
      </c>
      <c r="AH52" s="153" t="str">
        <f>IFERROR(IF((O52="Autobús urbano"),('FE Movilidad'!$G$76/1000),(VLOOKUP(O52,'FE Movilidad'!$B$74:$D$80,2,FALSE)))," ")</f>
        <v xml:space="preserve"> </v>
      </c>
      <c r="AI52" s="153" t="str">
        <f t="shared" si="4"/>
        <v xml:space="preserve"> </v>
      </c>
    </row>
    <row r="53" spans="2:35" x14ac:dyDescent="0.3">
      <c r="B53" s="103">
        <v>44</v>
      </c>
      <c r="C53" s="35"/>
      <c r="D53" s="35"/>
      <c r="E53" s="35"/>
      <c r="F53" s="35"/>
      <c r="G53" s="35"/>
      <c r="H53" s="35"/>
      <c r="I53" s="35"/>
      <c r="J53" s="35"/>
      <c r="K53" s="52"/>
      <c r="L53" s="50"/>
      <c r="M53" s="51"/>
      <c r="N53" s="55"/>
      <c r="O53" s="53"/>
      <c r="P53" s="57"/>
      <c r="Z53" s="160" t="str">
        <f>IFERROR((VLOOKUP(E53,'FE Movilidad'!$B$73:$D$80,2,FALSE))*'Mov. audiencia'!F53," ")</f>
        <v xml:space="preserve"> </v>
      </c>
      <c r="AA53" s="160">
        <f>IFERROR(G53*'FE Movilidad'!$E$140," ")</f>
        <v>0</v>
      </c>
      <c r="AB53" s="160" t="str">
        <f t="shared" si="5"/>
        <v/>
      </c>
      <c r="AC53" s="160" t="str">
        <f>IFERROR(VLOOKUP(AB53,'FE Movilidad'!$E$123:$G$134,3,FALSE)*'Mov. audiencia'!J53," ")</f>
        <v xml:space="preserve"> </v>
      </c>
      <c r="AD53" s="160" t="str">
        <f t="shared" si="1"/>
        <v/>
      </c>
      <c r="AE53" s="161" t="str">
        <f>IFERROR(VLOOKUP(AD53,'FE Movilidad'!$E$6:$G$66,2,FALSE)," ")</f>
        <v xml:space="preserve"> </v>
      </c>
      <c r="AF53" s="165" t="str">
        <f t="shared" si="2"/>
        <v xml:space="preserve"> </v>
      </c>
      <c r="AG53" s="165" t="str">
        <f t="shared" si="3"/>
        <v xml:space="preserve"> </v>
      </c>
      <c r="AH53" s="153" t="str">
        <f>IFERROR(IF((O53="Autobús urbano"),('FE Movilidad'!$G$76/1000),(VLOOKUP(O53,'FE Movilidad'!$B$74:$D$80,2,FALSE)))," ")</f>
        <v xml:space="preserve"> </v>
      </c>
      <c r="AI53" s="153" t="str">
        <f t="shared" si="4"/>
        <v xml:space="preserve"> </v>
      </c>
    </row>
    <row r="54" spans="2:35" x14ac:dyDescent="0.3">
      <c r="B54" s="103">
        <v>45</v>
      </c>
      <c r="C54" s="35"/>
      <c r="D54" s="35"/>
      <c r="E54" s="35"/>
      <c r="F54" s="35"/>
      <c r="G54" s="35"/>
      <c r="H54" s="35"/>
      <c r="I54" s="35"/>
      <c r="J54" s="35"/>
      <c r="K54" s="52"/>
      <c r="L54" s="50"/>
      <c r="M54" s="51"/>
      <c r="N54" s="55"/>
      <c r="O54" s="53"/>
      <c r="P54" s="57"/>
      <c r="Z54" s="160" t="str">
        <f>IFERROR((VLOOKUP(E54,'FE Movilidad'!$B$73:$D$80,2,FALSE))*'Mov. audiencia'!F54," ")</f>
        <v xml:space="preserve"> </v>
      </c>
      <c r="AA54" s="160">
        <f>IFERROR(G54*'FE Movilidad'!$E$140," ")</f>
        <v>0</v>
      </c>
      <c r="AB54" s="160" t="str">
        <f t="shared" si="5"/>
        <v/>
      </c>
      <c r="AC54" s="160" t="str">
        <f>IFERROR(VLOOKUP(AB54,'FE Movilidad'!$E$123:$G$134,3,FALSE)*'Mov. audiencia'!J54," ")</f>
        <v xml:space="preserve"> </v>
      </c>
      <c r="AD54" s="160" t="str">
        <f t="shared" si="1"/>
        <v/>
      </c>
      <c r="AE54" s="161" t="str">
        <f>IFERROR(VLOOKUP(AD54,'FE Movilidad'!$E$6:$G$66,2,FALSE)," ")</f>
        <v xml:space="preserve"> </v>
      </c>
      <c r="AF54" s="165" t="str">
        <f t="shared" si="2"/>
        <v xml:space="preserve"> </v>
      </c>
      <c r="AG54" s="165" t="str">
        <f t="shared" si="3"/>
        <v xml:space="preserve"> </v>
      </c>
      <c r="AH54" s="153" t="str">
        <f>IFERROR(IF((O54="Autobús urbano"),('FE Movilidad'!$G$76/1000),(VLOOKUP(O54,'FE Movilidad'!$B$74:$D$80,2,FALSE)))," ")</f>
        <v xml:space="preserve"> </v>
      </c>
      <c r="AI54" s="153" t="str">
        <f t="shared" si="4"/>
        <v xml:space="preserve"> </v>
      </c>
    </row>
    <row r="55" spans="2:35" x14ac:dyDescent="0.3">
      <c r="B55" s="103">
        <v>46</v>
      </c>
      <c r="C55" s="35"/>
      <c r="D55" s="35"/>
      <c r="E55" s="35"/>
      <c r="F55" s="35"/>
      <c r="G55" s="35"/>
      <c r="H55" s="35"/>
      <c r="I55" s="35"/>
      <c r="J55" s="35"/>
      <c r="K55" s="52"/>
      <c r="L55" s="50"/>
      <c r="M55" s="51"/>
      <c r="N55" s="55"/>
      <c r="O55" s="53"/>
      <c r="P55" s="57"/>
      <c r="Z55" s="160" t="str">
        <f>IFERROR((VLOOKUP(E55,'FE Movilidad'!$B$73:$D$80,2,FALSE))*'Mov. audiencia'!F55," ")</f>
        <v xml:space="preserve"> </v>
      </c>
      <c r="AA55" s="160">
        <f>IFERROR(G55*'FE Movilidad'!$E$140," ")</f>
        <v>0</v>
      </c>
      <c r="AB55" s="160" t="str">
        <f t="shared" si="5"/>
        <v/>
      </c>
      <c r="AC55" s="160" t="str">
        <f>IFERROR(VLOOKUP(AB55,'FE Movilidad'!$E$123:$G$134,3,FALSE)*'Mov. audiencia'!J55," ")</f>
        <v xml:space="preserve"> </v>
      </c>
      <c r="AD55" s="160" t="str">
        <f t="shared" si="1"/>
        <v/>
      </c>
      <c r="AE55" s="161" t="str">
        <f>IFERROR(VLOOKUP(AD55,'FE Movilidad'!$E$6:$G$66,2,FALSE)," ")</f>
        <v xml:space="preserve"> </v>
      </c>
      <c r="AF55" s="165" t="str">
        <f t="shared" si="2"/>
        <v xml:space="preserve"> </v>
      </c>
      <c r="AG55" s="165" t="str">
        <f t="shared" si="3"/>
        <v xml:space="preserve"> </v>
      </c>
      <c r="AH55" s="153" t="str">
        <f>IFERROR(IF((O55="Autobús urbano"),('FE Movilidad'!$G$76/1000),(VLOOKUP(O55,'FE Movilidad'!$B$74:$D$80,2,FALSE)))," ")</f>
        <v xml:space="preserve"> </v>
      </c>
      <c r="AI55" s="153" t="str">
        <f t="shared" si="4"/>
        <v xml:space="preserve"> </v>
      </c>
    </row>
    <row r="56" spans="2:35" x14ac:dyDescent="0.3">
      <c r="B56" s="103">
        <v>47</v>
      </c>
      <c r="C56" s="35"/>
      <c r="D56" s="35"/>
      <c r="E56" s="35"/>
      <c r="F56" s="35"/>
      <c r="G56" s="35"/>
      <c r="H56" s="35"/>
      <c r="I56" s="35"/>
      <c r="J56" s="35"/>
      <c r="K56" s="52"/>
      <c r="L56" s="50"/>
      <c r="M56" s="51"/>
      <c r="N56" s="55"/>
      <c r="O56" s="53"/>
      <c r="P56" s="57"/>
      <c r="Z56" s="160" t="str">
        <f>IFERROR((VLOOKUP(E56,'FE Movilidad'!$B$73:$D$80,2,FALSE))*'Mov. audiencia'!F56," ")</f>
        <v xml:space="preserve"> </v>
      </c>
      <c r="AA56" s="160">
        <f>IFERROR(G56*'FE Movilidad'!$E$140," ")</f>
        <v>0</v>
      </c>
      <c r="AB56" s="160" t="str">
        <f t="shared" si="5"/>
        <v/>
      </c>
      <c r="AC56" s="160" t="str">
        <f>IFERROR(VLOOKUP(AB56,'FE Movilidad'!$E$123:$G$134,3,FALSE)*'Mov. audiencia'!J56," ")</f>
        <v xml:space="preserve"> </v>
      </c>
      <c r="AD56" s="160" t="str">
        <f t="shared" si="1"/>
        <v/>
      </c>
      <c r="AE56" s="161" t="str">
        <f>IFERROR(VLOOKUP(AD56,'FE Movilidad'!$E$6:$G$66,2,FALSE)," ")</f>
        <v xml:space="preserve"> </v>
      </c>
      <c r="AF56" s="165" t="str">
        <f t="shared" si="2"/>
        <v xml:space="preserve"> </v>
      </c>
      <c r="AG56" s="165" t="str">
        <f t="shared" si="3"/>
        <v xml:space="preserve"> </v>
      </c>
      <c r="AH56" s="153" t="str">
        <f>IFERROR(IF((O56="Autobús urbano"),('FE Movilidad'!$G$76/1000),(VLOOKUP(O56,'FE Movilidad'!$B$74:$D$80,2,FALSE)))," ")</f>
        <v xml:space="preserve"> </v>
      </c>
      <c r="AI56" s="153" t="str">
        <f t="shared" si="4"/>
        <v xml:space="preserve"> </v>
      </c>
    </row>
    <row r="57" spans="2:35" x14ac:dyDescent="0.3">
      <c r="B57" s="103">
        <v>48</v>
      </c>
      <c r="C57" s="35"/>
      <c r="D57" s="35"/>
      <c r="E57" s="35"/>
      <c r="F57" s="35"/>
      <c r="G57" s="35"/>
      <c r="H57" s="35"/>
      <c r="I57" s="35"/>
      <c r="J57" s="35"/>
      <c r="K57" s="52"/>
      <c r="L57" s="50"/>
      <c r="M57" s="51"/>
      <c r="N57" s="55"/>
      <c r="O57" s="53"/>
      <c r="P57" s="57"/>
      <c r="Z57" s="160" t="str">
        <f>IFERROR((VLOOKUP(E57,'FE Movilidad'!$B$73:$D$80,2,FALSE))*'Mov. audiencia'!F57," ")</f>
        <v xml:space="preserve"> </v>
      </c>
      <c r="AA57" s="160">
        <f>IFERROR(G57*'FE Movilidad'!$E$140," ")</f>
        <v>0</v>
      </c>
      <c r="AB57" s="160" t="str">
        <f t="shared" si="5"/>
        <v/>
      </c>
      <c r="AC57" s="160" t="str">
        <f>IFERROR(VLOOKUP(AB57,'FE Movilidad'!$E$123:$G$134,3,FALSE)*'Mov. audiencia'!J57," ")</f>
        <v xml:space="preserve"> </v>
      </c>
      <c r="AD57" s="160" t="str">
        <f t="shared" si="1"/>
        <v/>
      </c>
      <c r="AE57" s="161" t="str">
        <f>IFERROR(VLOOKUP(AD57,'FE Movilidad'!$E$6:$G$66,2,FALSE)," ")</f>
        <v xml:space="preserve"> </v>
      </c>
      <c r="AF57" s="165" t="str">
        <f t="shared" si="2"/>
        <v xml:space="preserve"> </v>
      </c>
      <c r="AG57" s="165" t="str">
        <f t="shared" si="3"/>
        <v xml:space="preserve"> </v>
      </c>
      <c r="AH57" s="153" t="str">
        <f>IFERROR(IF((O57="Autobús urbano"),('FE Movilidad'!$G$76/1000),(VLOOKUP(O57,'FE Movilidad'!$B$74:$D$80,2,FALSE)))," ")</f>
        <v xml:space="preserve"> </v>
      </c>
      <c r="AI57" s="153" t="str">
        <f t="shared" si="4"/>
        <v xml:space="preserve"> </v>
      </c>
    </row>
    <row r="58" spans="2:35" x14ac:dyDescent="0.3">
      <c r="B58" s="103">
        <v>49</v>
      </c>
      <c r="C58" s="35"/>
      <c r="D58" s="35"/>
      <c r="E58" s="35"/>
      <c r="F58" s="35"/>
      <c r="G58" s="35"/>
      <c r="H58" s="35"/>
      <c r="I58" s="35"/>
      <c r="J58" s="35"/>
      <c r="K58" s="52"/>
      <c r="L58" s="50"/>
      <c r="M58" s="51"/>
      <c r="N58" s="55"/>
      <c r="O58" s="53"/>
      <c r="P58" s="57"/>
      <c r="Z58" s="160" t="str">
        <f>IFERROR((VLOOKUP(E58,'FE Movilidad'!$B$73:$D$80,2,FALSE))*'Mov. audiencia'!F58," ")</f>
        <v xml:space="preserve"> </v>
      </c>
      <c r="AA58" s="160">
        <f>IFERROR(G58*'FE Movilidad'!$E$140," ")</f>
        <v>0</v>
      </c>
      <c r="AB58" s="160" t="str">
        <f t="shared" si="5"/>
        <v/>
      </c>
      <c r="AC58" s="160" t="str">
        <f>IFERROR(VLOOKUP(AB58,'FE Movilidad'!$E$123:$G$134,3,FALSE)*'Mov. audiencia'!J58," ")</f>
        <v xml:space="preserve"> </v>
      </c>
      <c r="AD58" s="160" t="str">
        <f t="shared" si="1"/>
        <v/>
      </c>
      <c r="AE58" s="161" t="str">
        <f>IFERROR(VLOOKUP(AD58,'FE Movilidad'!$E$6:$G$66,2,FALSE)," ")</f>
        <v xml:space="preserve"> </v>
      </c>
      <c r="AF58" s="165" t="str">
        <f t="shared" si="2"/>
        <v xml:space="preserve"> </v>
      </c>
      <c r="AG58" s="165" t="str">
        <f t="shared" si="3"/>
        <v xml:space="preserve"> </v>
      </c>
      <c r="AH58" s="153" t="str">
        <f>IFERROR(IF((O58="Autobús urbano"),('FE Movilidad'!$G$76/1000),(VLOOKUP(O58,'FE Movilidad'!$B$74:$D$80,2,FALSE)))," ")</f>
        <v xml:space="preserve"> </v>
      </c>
      <c r="AI58" s="153" t="str">
        <f t="shared" si="4"/>
        <v xml:space="preserve"> </v>
      </c>
    </row>
    <row r="59" spans="2:35" x14ac:dyDescent="0.3">
      <c r="B59" s="103">
        <v>50</v>
      </c>
      <c r="C59" s="35"/>
      <c r="D59" s="35"/>
      <c r="E59" s="35"/>
      <c r="F59" s="35"/>
      <c r="G59" s="35"/>
      <c r="H59" s="35"/>
      <c r="I59" s="35"/>
      <c r="J59" s="35"/>
      <c r="K59" s="52"/>
      <c r="L59" s="50"/>
      <c r="M59" s="51"/>
      <c r="N59" s="55"/>
      <c r="O59" s="53"/>
      <c r="P59" s="57"/>
      <c r="Z59" s="160" t="str">
        <f>IFERROR((VLOOKUP(E59,'FE Movilidad'!$B$73:$D$80,2,FALSE))*'Mov. audiencia'!F59," ")</f>
        <v xml:space="preserve"> </v>
      </c>
      <c r="AA59" s="160">
        <f>IFERROR(G59*'FE Movilidad'!$E$140," ")</f>
        <v>0</v>
      </c>
      <c r="AB59" s="160" t="str">
        <f t="shared" si="5"/>
        <v/>
      </c>
      <c r="AC59" s="160" t="str">
        <f>IFERROR(VLOOKUP(AB59,'FE Movilidad'!$E$123:$G$134,3,FALSE)*'Mov. audiencia'!J59," ")</f>
        <v xml:space="preserve"> </v>
      </c>
      <c r="AD59" s="160" t="str">
        <f t="shared" si="1"/>
        <v/>
      </c>
      <c r="AE59" s="161" t="str">
        <f>IFERROR(VLOOKUP(AD59,'FE Movilidad'!$E$6:$G$66,2,FALSE)," ")</f>
        <v xml:space="preserve"> </v>
      </c>
      <c r="AF59" s="165" t="str">
        <f t="shared" si="2"/>
        <v xml:space="preserve"> </v>
      </c>
      <c r="AG59" s="165" t="str">
        <f t="shared" si="3"/>
        <v xml:space="preserve"> </v>
      </c>
      <c r="AH59" s="153" t="str">
        <f>IFERROR(IF((O59="Autobús urbano"),('FE Movilidad'!$G$76/1000),(VLOOKUP(O59,'FE Movilidad'!$B$74:$D$80,2,FALSE)))," ")</f>
        <v xml:space="preserve"> </v>
      </c>
      <c r="AI59" s="153" t="str">
        <f t="shared" si="4"/>
        <v xml:space="preserve"> </v>
      </c>
    </row>
    <row r="62" spans="2:35" ht="28.8" x14ac:dyDescent="0.3">
      <c r="O62" s="84" t="s">
        <v>77</v>
      </c>
      <c r="P62" s="85">
        <f>SUM(Z10:Z59,AA10:AA59,AC10:AC59,AG10:AG59,AI10:AI59)</f>
        <v>267.32920597315439</v>
      </c>
      <c r="V62" s="137"/>
    </row>
  </sheetData>
  <sheetProtection algorithmName="SHA-512" hashValue="wFuR2Dr6gl189yATpS7hZpSz3VczFihvnec9/3c48LSW9GO6xTVlrAxH5J7y0GKZd09vfM1PKx6kuGwOtxNuuA==" saltValue="bVdmM1WtNaaF6vW0T5XTzA==" spinCount="100000" sheet="1" objects="1" scenarios="1"/>
  <protectedRanges>
    <protectedRange sqref="G35:G59 C11:D34 F11:G34 J10:J34 I10:I59 H11:H59 C10:H10 E11:E59" name="Rango2"/>
    <protectedRange sqref="K10:V34 K35:P59" name="Rango1"/>
  </protectedRanges>
  <mergeCells count="12">
    <mergeCell ref="B4:P4"/>
    <mergeCell ref="B6:B9"/>
    <mergeCell ref="C8:C9"/>
    <mergeCell ref="D8:D9"/>
    <mergeCell ref="E8:F8"/>
    <mergeCell ref="H8:J8"/>
    <mergeCell ref="C6:P7"/>
    <mergeCell ref="AD8:AG8"/>
    <mergeCell ref="AH8:AI8"/>
    <mergeCell ref="AB8:AC8"/>
    <mergeCell ref="K8:N8"/>
    <mergeCell ref="P8:P9"/>
  </mergeCells>
  <conditionalFormatting sqref="C10:D34 G35:G59">
    <cfRule type="expression" dxfId="12" priority="3">
      <formula>#REF!="Transport públic"</formula>
    </cfRule>
  </conditionalFormatting>
  <conditionalFormatting sqref="K10:N59">
    <cfRule type="expression" dxfId="11" priority="2">
      <formula>$C10="Transport públic"</formula>
    </cfRule>
  </conditionalFormatting>
  <conditionalFormatting sqref="O10:O59">
    <cfRule type="expression" dxfId="10" priority="1">
      <formula>$C10="Vehicle propi o compartit"</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7">
        <x14:dataValidation type="list" allowBlank="1" showInputMessage="1" showErrorMessage="1" xr:uid="{8163AC9C-CF38-4AD7-8A73-4E516D02E1D3}">
          <x14:formula1>
            <xm:f>'FE Movilidad'!$C$124:$C$134</xm:f>
          </x14:formula1>
          <xm:sqref>H10:H59</xm:sqref>
        </x14:dataValidation>
        <x14:dataValidation type="list" allowBlank="1" showInputMessage="1" showErrorMessage="1" xr:uid="{FFDAB11C-132E-47D4-BC8F-EC5C8A36F6ED}">
          <x14:formula1>
            <xm:f>'FE Movilidad'!$D$127:$D$130</xm:f>
          </x14:formula1>
          <xm:sqref>I10:I59</xm:sqref>
        </x14:dataValidation>
        <x14:dataValidation type="list" allowBlank="1" showInputMessage="1" showErrorMessage="1" xr:uid="{B724BF6F-D905-4884-BD70-8E068F61356B}">
          <x14:formula1>
            <xm:f>'FE Movilidad'!$B$7:$B$64</xm:f>
          </x14:formula1>
          <xm:sqref>M10:M59</xm:sqref>
        </x14:dataValidation>
        <x14:dataValidation type="list" allowBlank="1" showInputMessage="1" showErrorMessage="1" xr:uid="{884098F8-A7F6-4826-87E6-23D996805E24}">
          <x14:formula1>
            <xm:f>'FE Movilidad'!$D$90:$D$96</xm:f>
          </x14:formula1>
          <xm:sqref>K10:K59</xm:sqref>
        </x14:dataValidation>
        <x14:dataValidation type="list" allowBlank="1" showInputMessage="1" showErrorMessage="1" xr:uid="{5D1EAC7D-644E-421B-B376-8931D7122DCA}">
          <x14:formula1>
            <xm:f>'FE Movilidad'!$D$97:$D$103</xm:f>
          </x14:formula1>
          <xm:sqref>O10:O59</xm:sqref>
        </x14:dataValidation>
        <x14:dataValidation type="list" allowBlank="1" showInputMessage="1" showErrorMessage="1" xr:uid="{EDAD5AD7-69CF-493D-9AE8-A04AD2DE55AA}">
          <x14:formula1>
            <xm:f>'FE Movilidad'!$F$101:$F$102</xm:f>
          </x14:formula1>
          <xm:sqref>L10:L59</xm:sqref>
        </x14:dataValidation>
        <x14:dataValidation type="list" allowBlank="1" showInputMessage="1" showErrorMessage="1" xr:uid="{4C46D0B3-5A56-423C-9384-FB4FCBB4AEDE}">
          <x14:formula1>
            <xm:f>'FE Movilidad'!$H$94:$H$97</xm:f>
          </x14:formula1>
          <xm:sqref>E10:E59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E930C-39F4-49E7-9662-EB29B67BB34A}">
  <dimension ref="B2:U61"/>
  <sheetViews>
    <sheetView workbookViewId="0">
      <selection activeCell="J17" sqref="J17"/>
    </sheetView>
  </sheetViews>
  <sheetFormatPr baseColWidth="10" defaultColWidth="12.6640625" defaultRowHeight="14.4" x14ac:dyDescent="0.3"/>
  <cols>
    <col min="1" max="1" width="3.88671875" style="1" customWidth="1"/>
    <col min="2" max="4" width="12.6640625" style="1"/>
    <col min="5" max="5" width="13.5546875" style="1" customWidth="1"/>
    <col min="6" max="11" width="12.6640625" style="1"/>
    <col min="12" max="15" width="21.33203125" style="1" customWidth="1"/>
    <col min="16" max="16" width="26.33203125" style="1" customWidth="1"/>
    <col min="17" max="17" width="18.88671875" style="1" customWidth="1"/>
    <col min="18" max="18" width="19.109375" style="144" hidden="1" customWidth="1"/>
    <col min="19" max="19" width="21.33203125" style="162" hidden="1" customWidth="1"/>
    <col min="20" max="20" width="22.33203125" style="162" hidden="1" customWidth="1"/>
    <col min="21" max="21" width="0" style="144" hidden="1" customWidth="1"/>
    <col min="22" max="16384" width="12.6640625" style="1"/>
  </cols>
  <sheetData>
    <row r="2" spans="2:20" ht="25.8" x14ac:dyDescent="0.3">
      <c r="B2" s="10" t="s">
        <v>225</v>
      </c>
      <c r="I2" s="134" t="s">
        <v>226</v>
      </c>
      <c r="J2" s="134"/>
      <c r="K2" s="214" t="s">
        <v>227</v>
      </c>
      <c r="L2" s="214"/>
      <c r="M2" s="134"/>
      <c r="N2" s="134"/>
      <c r="O2" s="134"/>
    </row>
    <row r="5" spans="2:20" ht="21" x14ac:dyDescent="0.3">
      <c r="B5" s="215" t="s">
        <v>228</v>
      </c>
      <c r="C5" s="215"/>
      <c r="D5" s="215"/>
      <c r="E5" s="215"/>
      <c r="G5" s="215" t="s">
        <v>229</v>
      </c>
      <c r="H5" s="215"/>
      <c r="I5" s="215"/>
      <c r="J5" s="215"/>
    </row>
    <row r="6" spans="2:20" x14ac:dyDescent="0.3">
      <c r="B6" s="5"/>
      <c r="G6" s="5"/>
    </row>
    <row r="7" spans="2:20" ht="28.95" customHeight="1" x14ac:dyDescent="0.3">
      <c r="B7" s="227" t="s">
        <v>230</v>
      </c>
      <c r="C7" s="255" t="s">
        <v>231</v>
      </c>
      <c r="D7" s="255" t="s">
        <v>232</v>
      </c>
      <c r="E7" s="227" t="s">
        <v>233</v>
      </c>
      <c r="G7" s="227" t="s">
        <v>234</v>
      </c>
      <c r="H7" s="255" t="s">
        <v>231</v>
      </c>
      <c r="I7" s="255" t="s">
        <v>232</v>
      </c>
      <c r="J7" s="227" t="s">
        <v>233</v>
      </c>
      <c r="S7" s="254" t="s">
        <v>235</v>
      </c>
      <c r="T7" s="254" t="s">
        <v>235</v>
      </c>
    </row>
    <row r="8" spans="2:20" x14ac:dyDescent="0.3">
      <c r="B8" s="227"/>
      <c r="C8" s="255"/>
      <c r="D8" s="255"/>
      <c r="E8" s="227"/>
      <c r="G8" s="227"/>
      <c r="H8" s="255"/>
      <c r="I8" s="255"/>
      <c r="J8" s="227"/>
      <c r="S8" s="254"/>
      <c r="T8" s="254"/>
    </row>
    <row r="9" spans="2:20" x14ac:dyDescent="0.3">
      <c r="B9" s="26">
        <v>1</v>
      </c>
      <c r="C9" s="25" t="s">
        <v>236</v>
      </c>
      <c r="D9" s="25">
        <v>1</v>
      </c>
      <c r="E9" s="25">
        <v>3</v>
      </c>
      <c r="G9" s="26">
        <v>1</v>
      </c>
      <c r="H9" s="25" t="s">
        <v>236</v>
      </c>
      <c r="I9" s="25">
        <v>5</v>
      </c>
      <c r="J9" s="25">
        <v>1</v>
      </c>
      <c r="S9" s="166">
        <f>IFERROR(VLOOKUP(C9,'FE Estancias de hotel'!$C$5:$E$42,3,FALSE)*D9*E9,"NA")</f>
        <v>36.599999999999994</v>
      </c>
      <c r="T9" s="166">
        <f>IFERROR(VLOOKUP(H9,'FE Estancias de hotel'!$C$5:$E$42,3,FALSE)*I9*J9,"NA")</f>
        <v>61</v>
      </c>
    </row>
    <row r="10" spans="2:20" x14ac:dyDescent="0.3">
      <c r="B10" s="26">
        <v>2</v>
      </c>
      <c r="C10" s="25"/>
      <c r="D10" s="25"/>
      <c r="E10" s="25"/>
      <c r="G10" s="26">
        <v>2</v>
      </c>
      <c r="H10" s="25"/>
      <c r="I10" s="25"/>
      <c r="J10" s="25"/>
      <c r="S10" s="166" t="str">
        <f>IFERROR(VLOOKUP(C10,'FE Estancias de hotel'!$C$5:$E$42,3,FALSE)*D10*E10,"NA")</f>
        <v>NA</v>
      </c>
      <c r="T10" s="166" t="str">
        <f>IFERROR(VLOOKUP(H10,'FE Estancias de hotel'!$C$5:$E$42,3,FALSE)*I10*J10,"NA")</f>
        <v>NA</v>
      </c>
    </row>
    <row r="11" spans="2:20" x14ac:dyDescent="0.3">
      <c r="B11" s="26">
        <v>3</v>
      </c>
      <c r="C11" s="25"/>
      <c r="D11" s="25"/>
      <c r="E11" s="25"/>
      <c r="G11" s="26">
        <v>3</v>
      </c>
      <c r="H11" s="25"/>
      <c r="I11" s="25"/>
      <c r="J11" s="25"/>
      <c r="S11" s="166" t="str">
        <f>IFERROR(VLOOKUP(C11,'FE Estancias de hotel'!$C$5:$E$42,3,FALSE)*D11*E11,"NA")</f>
        <v>NA</v>
      </c>
      <c r="T11" s="166" t="str">
        <f>IFERROR(VLOOKUP(H11,'FE Estancias de hotel'!$C$5:$E$42,3,FALSE)*I11*J11,"NA")</f>
        <v>NA</v>
      </c>
    </row>
    <row r="12" spans="2:20" x14ac:dyDescent="0.3">
      <c r="B12" s="26">
        <v>4</v>
      </c>
      <c r="C12" s="25"/>
      <c r="D12" s="25"/>
      <c r="E12" s="25"/>
      <c r="G12" s="26">
        <v>4</v>
      </c>
      <c r="H12" s="25"/>
      <c r="I12" s="25"/>
      <c r="J12" s="25"/>
      <c r="S12" s="166" t="str">
        <f>IFERROR(VLOOKUP(C12,'FE Estancias de hotel'!$C$5:$E$42,3,FALSE)*D12*E12,"NA")</f>
        <v>NA</v>
      </c>
      <c r="T12" s="166" t="str">
        <f>IFERROR(VLOOKUP(H12,'FE Estancias de hotel'!$C$5:$E$42,3,FALSE)*I12*J12,"NA")</f>
        <v>NA</v>
      </c>
    </row>
    <row r="13" spans="2:20" x14ac:dyDescent="0.3">
      <c r="B13" s="26">
        <v>5</v>
      </c>
      <c r="C13" s="25"/>
      <c r="D13" s="25"/>
      <c r="E13" s="25"/>
      <c r="G13" s="26">
        <v>5</v>
      </c>
      <c r="H13" s="25"/>
      <c r="I13" s="25"/>
      <c r="J13" s="25"/>
      <c r="S13" s="166" t="str">
        <f>IFERROR(VLOOKUP(C13,'FE Estancias de hotel'!$C$5:$E$42,3,FALSE)*D13*E13,"NA")</f>
        <v>NA</v>
      </c>
      <c r="T13" s="166" t="str">
        <f>IFERROR(VLOOKUP(H13,'FE Estancias de hotel'!$C$5:$E$42,3,FALSE)*I13*J13,"NA")</f>
        <v>NA</v>
      </c>
    </row>
    <row r="14" spans="2:20" x14ac:dyDescent="0.3">
      <c r="B14" s="26">
        <v>6</v>
      </c>
      <c r="C14" s="25"/>
      <c r="D14" s="25"/>
      <c r="E14" s="25"/>
      <c r="G14" s="26">
        <v>6</v>
      </c>
      <c r="H14" s="25"/>
      <c r="I14" s="25"/>
      <c r="J14" s="25"/>
      <c r="S14" s="166" t="str">
        <f>IFERROR(VLOOKUP(C14,'FE Estancias de hotel'!$C$5:$E$42,3,FALSE)*D14*E14,"NA")</f>
        <v>NA</v>
      </c>
      <c r="T14" s="166" t="str">
        <f>IFERROR(VLOOKUP(H14,'FE Estancias de hotel'!$C$5:$E$42,3,FALSE)*I14*J14,"NA")</f>
        <v>NA</v>
      </c>
    </row>
    <row r="15" spans="2:20" x14ac:dyDescent="0.3">
      <c r="B15" s="26">
        <v>7</v>
      </c>
      <c r="C15" s="25"/>
      <c r="D15" s="25"/>
      <c r="E15" s="25"/>
      <c r="G15" s="26">
        <v>7</v>
      </c>
      <c r="H15" s="25"/>
      <c r="I15" s="25"/>
      <c r="J15" s="25"/>
      <c r="S15" s="166" t="str">
        <f>IFERROR(VLOOKUP(C15,'FE Estancias de hotel'!$C$5:$E$42,3,FALSE)*D15*E15,"NA")</f>
        <v>NA</v>
      </c>
      <c r="T15" s="166" t="str">
        <f>IFERROR(VLOOKUP(H15,'FE Estancias de hotel'!$C$5:$E$42,3,FALSE)*I15*J15,"NA")</f>
        <v>NA</v>
      </c>
    </row>
    <row r="16" spans="2:20" x14ac:dyDescent="0.3">
      <c r="B16" s="26">
        <v>8</v>
      </c>
      <c r="C16" s="25"/>
      <c r="D16" s="25"/>
      <c r="E16" s="25"/>
      <c r="G16" s="26">
        <v>8</v>
      </c>
      <c r="H16" s="25"/>
      <c r="I16" s="25"/>
      <c r="J16" s="25"/>
      <c r="S16" s="166" t="str">
        <f>IFERROR(VLOOKUP(C16,'FE Estancias de hotel'!$C$5:$E$42,3,FALSE)*D16*E16,"NA")</f>
        <v>NA</v>
      </c>
      <c r="T16" s="166" t="str">
        <f>IFERROR(VLOOKUP(H16,'FE Estancias de hotel'!$C$5:$E$42,3,FALSE)*I16*J16,"NA")</f>
        <v>NA</v>
      </c>
    </row>
    <row r="17" spans="2:20" x14ac:dyDescent="0.3">
      <c r="B17" s="26">
        <v>9</v>
      </c>
      <c r="C17" s="25"/>
      <c r="D17" s="25"/>
      <c r="E17" s="25"/>
      <c r="G17" s="26">
        <v>9</v>
      </c>
      <c r="H17" s="25"/>
      <c r="I17" s="25"/>
      <c r="J17" s="25"/>
      <c r="S17" s="166" t="str">
        <f>IFERROR(VLOOKUP(C17,'FE Estancias de hotel'!$C$5:$E$42,3,FALSE)*D17*E17,"NA")</f>
        <v>NA</v>
      </c>
      <c r="T17" s="166" t="str">
        <f>IFERROR(VLOOKUP(H17,'FE Estancias de hotel'!$C$5:$E$42,3,FALSE)*I17*J17,"NA")</f>
        <v>NA</v>
      </c>
    </row>
    <row r="18" spans="2:20" x14ac:dyDescent="0.3">
      <c r="B18" s="26">
        <v>10</v>
      </c>
      <c r="C18" s="25"/>
      <c r="D18" s="25"/>
      <c r="E18" s="25"/>
      <c r="G18" s="26">
        <v>10</v>
      </c>
      <c r="H18" s="25"/>
      <c r="I18" s="25"/>
      <c r="J18" s="25"/>
      <c r="S18" s="166" t="str">
        <f>IFERROR(VLOOKUP(C18,'FE Estancias de hotel'!$C$5:$E$42,3,FALSE)*D18*E18,"NA")</f>
        <v>NA</v>
      </c>
      <c r="T18" s="166" t="str">
        <f>IFERROR(VLOOKUP(H18,'FE Estancias de hotel'!$C$5:$E$42,3,FALSE)*I18*J18,"NA")</f>
        <v>NA</v>
      </c>
    </row>
    <row r="19" spans="2:20" x14ac:dyDescent="0.3">
      <c r="B19" s="26">
        <v>11</v>
      </c>
      <c r="C19" s="25"/>
      <c r="D19" s="25"/>
      <c r="E19" s="25"/>
      <c r="G19" s="26">
        <v>11</v>
      </c>
      <c r="H19" s="25"/>
      <c r="I19" s="25"/>
      <c r="J19" s="25"/>
      <c r="S19" s="166" t="str">
        <f>IFERROR(VLOOKUP(C19,'FE Estancias de hotel'!$C$5:$E$42,3,FALSE)*D19*E19,"NA")</f>
        <v>NA</v>
      </c>
      <c r="T19" s="166" t="str">
        <f>IFERROR(VLOOKUP(H19,'FE Estancias de hotel'!$C$5:$E$42,3,FALSE)*I19*J19,"NA")</f>
        <v>NA</v>
      </c>
    </row>
    <row r="20" spans="2:20" x14ac:dyDescent="0.3">
      <c r="B20" s="26">
        <v>12</v>
      </c>
      <c r="C20" s="25"/>
      <c r="D20" s="25"/>
      <c r="E20" s="25"/>
      <c r="G20" s="26">
        <v>12</v>
      </c>
      <c r="H20" s="25"/>
      <c r="I20" s="25"/>
      <c r="J20" s="25"/>
      <c r="S20" s="166" t="str">
        <f>IFERROR(VLOOKUP(C20,'FE Estancias de hotel'!$C$5:$E$42,3,FALSE)*D20*E20,"NA")</f>
        <v>NA</v>
      </c>
      <c r="T20" s="166" t="str">
        <f>IFERROR(VLOOKUP(H20,'FE Estancias de hotel'!$C$5:$E$42,3,FALSE)*I20*J20,"NA")</f>
        <v>NA</v>
      </c>
    </row>
    <row r="21" spans="2:20" x14ac:dyDescent="0.3">
      <c r="B21" s="26">
        <v>13</v>
      </c>
      <c r="C21" s="25"/>
      <c r="D21" s="25"/>
      <c r="E21" s="25"/>
      <c r="G21" s="26">
        <v>13</v>
      </c>
      <c r="H21" s="25"/>
      <c r="I21" s="25"/>
      <c r="J21" s="25"/>
      <c r="S21" s="166" t="str">
        <f>IFERROR(VLOOKUP(C21,'FE Estancias de hotel'!$C$5:$E$42,3,FALSE)*D21*E21,"NA")</f>
        <v>NA</v>
      </c>
      <c r="T21" s="166" t="str">
        <f>IFERROR(VLOOKUP(H21,'FE Estancias de hotel'!$C$5:$E$42,3,FALSE)*I21*J21,"NA")</f>
        <v>NA</v>
      </c>
    </row>
    <row r="22" spans="2:20" x14ac:dyDescent="0.3">
      <c r="B22" s="26">
        <v>14</v>
      </c>
      <c r="C22" s="25"/>
      <c r="D22" s="25"/>
      <c r="E22" s="25"/>
      <c r="G22" s="26">
        <v>14</v>
      </c>
      <c r="H22" s="25"/>
      <c r="I22" s="25"/>
      <c r="J22" s="25"/>
      <c r="S22" s="166" t="str">
        <f>IFERROR(VLOOKUP(C22,'FE Estancias de hotel'!$C$5:$E$42,3,FALSE)*D22*E22,"NA")</f>
        <v>NA</v>
      </c>
      <c r="T22" s="166" t="str">
        <f>IFERROR(VLOOKUP(H22,'FE Estancias de hotel'!$C$5:$E$42,3,FALSE)*I22*J22,"NA")</f>
        <v>NA</v>
      </c>
    </row>
    <row r="23" spans="2:20" x14ac:dyDescent="0.3">
      <c r="B23" s="26">
        <v>15</v>
      </c>
      <c r="C23" s="25"/>
      <c r="D23" s="25"/>
      <c r="E23" s="25"/>
      <c r="G23" s="26">
        <v>15</v>
      </c>
      <c r="H23" s="25"/>
      <c r="I23" s="25"/>
      <c r="J23" s="25"/>
      <c r="S23" s="166" t="str">
        <f>IFERROR(VLOOKUP(C23,'FE Estancias de hotel'!$C$5:$E$42,3,FALSE)*D23*E23,"NA")</f>
        <v>NA</v>
      </c>
      <c r="T23" s="166" t="str">
        <f>IFERROR(VLOOKUP(H23,'FE Estancias de hotel'!$C$5:$E$42,3,FALSE)*I23*J23,"NA")</f>
        <v>NA</v>
      </c>
    </row>
    <row r="24" spans="2:20" x14ac:dyDescent="0.3">
      <c r="B24" s="26">
        <v>16</v>
      </c>
      <c r="C24" s="25"/>
      <c r="D24" s="25"/>
      <c r="E24" s="25"/>
      <c r="G24" s="26">
        <v>16</v>
      </c>
      <c r="H24" s="25"/>
      <c r="I24" s="25"/>
      <c r="J24" s="25"/>
      <c r="S24" s="166" t="str">
        <f>IFERROR(VLOOKUP(C24,'FE Estancias de hotel'!$C$5:$E$42,3,FALSE)*D24*E24,"NA")</f>
        <v>NA</v>
      </c>
      <c r="T24" s="166" t="str">
        <f>IFERROR(VLOOKUP(H24,'FE Estancias de hotel'!$C$5:$E$42,3,FALSE)*I24*J24,"NA")</f>
        <v>NA</v>
      </c>
    </row>
    <row r="25" spans="2:20" x14ac:dyDescent="0.3">
      <c r="B25" s="26">
        <v>17</v>
      </c>
      <c r="C25" s="25"/>
      <c r="D25" s="25"/>
      <c r="E25" s="25"/>
      <c r="G25" s="26">
        <v>17</v>
      </c>
      <c r="H25" s="25"/>
      <c r="I25" s="25"/>
      <c r="J25" s="25"/>
      <c r="S25" s="166" t="str">
        <f>IFERROR(VLOOKUP(C25,'FE Estancias de hotel'!$C$5:$E$42,3,FALSE)*D25*E25,"NA")</f>
        <v>NA</v>
      </c>
      <c r="T25" s="166" t="str">
        <f>IFERROR(VLOOKUP(H25,'FE Estancias de hotel'!$C$5:$E$42,3,FALSE)*I25*J25,"NA")</f>
        <v>NA</v>
      </c>
    </row>
    <row r="26" spans="2:20" x14ac:dyDescent="0.3">
      <c r="B26" s="26">
        <v>18</v>
      </c>
      <c r="C26" s="25"/>
      <c r="D26" s="25"/>
      <c r="E26" s="25"/>
      <c r="G26" s="26">
        <v>18</v>
      </c>
      <c r="H26" s="25"/>
      <c r="I26" s="25"/>
      <c r="J26" s="25"/>
      <c r="S26" s="166" t="str">
        <f>IFERROR(VLOOKUP(C26,'FE Estancias de hotel'!$C$5:$E$42,3,FALSE)*D26*E26,"NA")</f>
        <v>NA</v>
      </c>
      <c r="T26" s="166" t="str">
        <f>IFERROR(VLOOKUP(H26,'FE Estancias de hotel'!$C$5:$E$42,3,FALSE)*I26*J26,"NA")</f>
        <v>NA</v>
      </c>
    </row>
    <row r="27" spans="2:20" x14ac:dyDescent="0.3">
      <c r="B27" s="26">
        <v>19</v>
      </c>
      <c r="C27" s="25"/>
      <c r="D27" s="25"/>
      <c r="E27" s="25"/>
      <c r="G27" s="26">
        <v>19</v>
      </c>
      <c r="H27" s="25"/>
      <c r="I27" s="25"/>
      <c r="J27" s="25"/>
      <c r="S27" s="166" t="str">
        <f>IFERROR(VLOOKUP(C27,'FE Estancias de hotel'!$C$5:$E$42,3,FALSE)*D27*E27,"NA")</f>
        <v>NA</v>
      </c>
      <c r="T27" s="166" t="str">
        <f>IFERROR(VLOOKUP(H27,'FE Estancias de hotel'!$C$5:$E$42,3,FALSE)*I27*J27,"NA")</f>
        <v>NA</v>
      </c>
    </row>
    <row r="28" spans="2:20" x14ac:dyDescent="0.3">
      <c r="B28" s="26">
        <v>20</v>
      </c>
      <c r="C28" s="25"/>
      <c r="D28" s="25"/>
      <c r="E28" s="25"/>
      <c r="G28" s="26">
        <v>20</v>
      </c>
      <c r="H28" s="25"/>
      <c r="I28" s="25"/>
      <c r="J28" s="25"/>
      <c r="S28" s="166" t="str">
        <f>IFERROR(VLOOKUP(C28,'FE Estancias de hotel'!$C$5:$E$42,3,FALSE)*D28*E28,"NA")</f>
        <v>NA</v>
      </c>
      <c r="T28" s="166" t="str">
        <f>IFERROR(VLOOKUP(H28,'FE Estancias de hotel'!$C$5:$E$42,3,FALSE)*I28*J28,"NA")</f>
        <v>NA</v>
      </c>
    </row>
    <row r="29" spans="2:20" x14ac:dyDescent="0.3">
      <c r="B29" s="26">
        <v>21</v>
      </c>
      <c r="C29" s="25"/>
      <c r="D29" s="25"/>
      <c r="E29" s="25"/>
      <c r="G29" s="26">
        <v>21</v>
      </c>
      <c r="H29" s="25"/>
      <c r="I29" s="25"/>
      <c r="J29" s="25"/>
      <c r="S29" s="166" t="str">
        <f>IFERROR(VLOOKUP(C29,'FE Estancias de hotel'!$C$5:$E$42,3,FALSE)*D29*E29,"NA")</f>
        <v>NA</v>
      </c>
      <c r="T29" s="166" t="str">
        <f>IFERROR(VLOOKUP(H29,'FE Estancias de hotel'!$C$5:$E$42,3,FALSE)*I29*J29,"NA")</f>
        <v>NA</v>
      </c>
    </row>
    <row r="30" spans="2:20" x14ac:dyDescent="0.3">
      <c r="B30" s="26">
        <v>22</v>
      </c>
      <c r="C30" s="25"/>
      <c r="D30" s="25"/>
      <c r="E30" s="25"/>
      <c r="G30" s="26">
        <v>22</v>
      </c>
      <c r="H30" s="25"/>
      <c r="I30" s="25"/>
      <c r="J30" s="25"/>
      <c r="S30" s="166" t="str">
        <f>IFERROR(VLOOKUP(C30,'FE Estancias de hotel'!$C$5:$E$42,3,FALSE)*D30*E30,"NA")</f>
        <v>NA</v>
      </c>
      <c r="T30" s="166" t="str">
        <f>IFERROR(VLOOKUP(H30,'FE Estancias de hotel'!$C$5:$E$42,3,FALSE)*I30*J30,"NA")</f>
        <v>NA</v>
      </c>
    </row>
    <row r="31" spans="2:20" x14ac:dyDescent="0.3">
      <c r="B31" s="26">
        <v>23</v>
      </c>
      <c r="C31" s="25"/>
      <c r="D31" s="25"/>
      <c r="E31" s="25"/>
      <c r="G31" s="26">
        <v>23</v>
      </c>
      <c r="H31" s="25"/>
      <c r="I31" s="25"/>
      <c r="J31" s="25"/>
      <c r="S31" s="166" t="str">
        <f>IFERROR(VLOOKUP(C31,'FE Estancias de hotel'!$C$5:$E$42,3,FALSE)*D31*E31,"NA")</f>
        <v>NA</v>
      </c>
      <c r="T31" s="166" t="str">
        <f>IFERROR(VLOOKUP(H31,'FE Estancias de hotel'!$C$5:$E$42,3,FALSE)*I31*J31,"NA")</f>
        <v>NA</v>
      </c>
    </row>
    <row r="32" spans="2:20" x14ac:dyDescent="0.3">
      <c r="B32" s="26">
        <v>24</v>
      </c>
      <c r="C32" s="25"/>
      <c r="D32" s="25"/>
      <c r="E32" s="25"/>
      <c r="G32" s="26">
        <v>24</v>
      </c>
      <c r="H32" s="25"/>
      <c r="I32" s="25"/>
      <c r="J32" s="25"/>
      <c r="S32" s="166" t="str">
        <f>IFERROR(VLOOKUP(C32,'FE Estancias de hotel'!$C$5:$E$42,3,FALSE)*D32*E32,"NA")</f>
        <v>NA</v>
      </c>
      <c r="T32" s="166" t="str">
        <f>IFERROR(VLOOKUP(H32,'FE Estancias de hotel'!$C$5:$E$42,3,FALSE)*I32*J32,"NA")</f>
        <v>NA</v>
      </c>
    </row>
    <row r="33" spans="2:20" x14ac:dyDescent="0.3">
      <c r="B33" s="26">
        <v>25</v>
      </c>
      <c r="C33" s="25"/>
      <c r="D33" s="25"/>
      <c r="E33" s="25"/>
      <c r="G33" s="26">
        <v>25</v>
      </c>
      <c r="H33" s="25"/>
      <c r="I33" s="25"/>
      <c r="J33" s="25"/>
      <c r="S33" s="166" t="str">
        <f>IFERROR(VLOOKUP(C33,'FE Estancias de hotel'!$C$5:$E$42,3,FALSE)*D33*E33,"NA")</f>
        <v>NA</v>
      </c>
      <c r="T33" s="166" t="str">
        <f>IFERROR(VLOOKUP(H33,'FE Estancias de hotel'!$C$5:$E$42,3,FALSE)*I33*J33,"NA")</f>
        <v>NA</v>
      </c>
    </row>
    <row r="34" spans="2:20" x14ac:dyDescent="0.3">
      <c r="B34" s="26">
        <v>26</v>
      </c>
      <c r="C34" s="25"/>
      <c r="D34" s="25"/>
      <c r="E34" s="25"/>
      <c r="G34" s="26">
        <v>26</v>
      </c>
      <c r="H34" s="25"/>
      <c r="I34" s="25"/>
      <c r="J34" s="25"/>
      <c r="S34" s="166" t="str">
        <f>IFERROR(VLOOKUP(C34,'FE Estancias de hotel'!$C$5:$E$42,3,FALSE)*D34*E34,"NA")</f>
        <v>NA</v>
      </c>
      <c r="T34" s="166" t="str">
        <f>IFERROR(VLOOKUP(H34,'FE Estancias de hotel'!$C$5:$E$42,3,FALSE)*I34*J34,"NA")</f>
        <v>NA</v>
      </c>
    </row>
    <row r="35" spans="2:20" x14ac:dyDescent="0.3">
      <c r="B35" s="26">
        <v>27</v>
      </c>
      <c r="C35" s="25"/>
      <c r="D35" s="25"/>
      <c r="E35" s="25"/>
      <c r="G35" s="26">
        <v>27</v>
      </c>
      <c r="H35" s="25"/>
      <c r="I35" s="25"/>
      <c r="J35" s="25"/>
      <c r="S35" s="166" t="str">
        <f>IFERROR(VLOOKUP(C35,'FE Estancias de hotel'!$C$5:$E$42,3,FALSE)*D35*E35,"NA")</f>
        <v>NA</v>
      </c>
      <c r="T35" s="166" t="str">
        <f>IFERROR(VLOOKUP(H35,'FE Estancias de hotel'!$C$5:$E$42,3,FALSE)*I35*J35,"NA")</f>
        <v>NA</v>
      </c>
    </row>
    <row r="36" spans="2:20" x14ac:dyDescent="0.3">
      <c r="B36" s="26">
        <v>28</v>
      </c>
      <c r="C36" s="25"/>
      <c r="D36" s="25"/>
      <c r="E36" s="25"/>
      <c r="G36" s="26">
        <v>28</v>
      </c>
      <c r="H36" s="25"/>
      <c r="I36" s="25"/>
      <c r="J36" s="25"/>
      <c r="S36" s="166" t="str">
        <f>IFERROR(VLOOKUP(C36,'FE Estancias de hotel'!$C$5:$E$42,3,FALSE)*D36*E36,"NA")</f>
        <v>NA</v>
      </c>
      <c r="T36" s="166" t="str">
        <f>IFERROR(VLOOKUP(H36,'FE Estancias de hotel'!$C$5:$E$42,3,FALSE)*I36*J36,"NA")</f>
        <v>NA</v>
      </c>
    </row>
    <row r="37" spans="2:20" x14ac:dyDescent="0.3">
      <c r="B37" s="26">
        <v>29</v>
      </c>
      <c r="C37" s="25"/>
      <c r="D37" s="25"/>
      <c r="E37" s="25"/>
      <c r="G37" s="26">
        <v>29</v>
      </c>
      <c r="H37" s="25"/>
      <c r="I37" s="25"/>
      <c r="J37" s="25"/>
      <c r="S37" s="166" t="str">
        <f>IFERROR(VLOOKUP(C37,'FE Estancias de hotel'!$C$5:$E$42,3,FALSE)*D37*E37,"NA")</f>
        <v>NA</v>
      </c>
      <c r="T37" s="166" t="str">
        <f>IFERROR(VLOOKUP(H37,'FE Estancias de hotel'!$C$5:$E$42,3,FALSE)*I37*J37,"NA")</f>
        <v>NA</v>
      </c>
    </row>
    <row r="38" spans="2:20" x14ac:dyDescent="0.3">
      <c r="B38" s="26">
        <v>30</v>
      </c>
      <c r="C38" s="25"/>
      <c r="D38" s="25"/>
      <c r="E38" s="25"/>
      <c r="G38" s="26">
        <v>30</v>
      </c>
      <c r="H38" s="25"/>
      <c r="I38" s="25"/>
      <c r="J38" s="25"/>
      <c r="S38" s="166" t="str">
        <f>IFERROR(VLOOKUP(C38,'FE Estancias de hotel'!$C$5:$E$42,3,FALSE)*D38*E38,"NA")</f>
        <v>NA</v>
      </c>
      <c r="T38" s="166" t="str">
        <f>IFERROR(VLOOKUP(H38,'FE Estancias de hotel'!$C$5:$E$42,3,FALSE)*I38*J38,"NA")</f>
        <v>NA</v>
      </c>
    </row>
    <row r="39" spans="2:20" x14ac:dyDescent="0.3">
      <c r="B39" s="26">
        <v>31</v>
      </c>
      <c r="C39" s="25"/>
      <c r="D39" s="25"/>
      <c r="E39" s="25"/>
      <c r="G39" s="26">
        <v>31</v>
      </c>
      <c r="H39" s="25"/>
      <c r="I39" s="25"/>
      <c r="J39" s="25"/>
      <c r="S39" s="166" t="str">
        <f>IFERROR(VLOOKUP(C39,'FE Estancias de hotel'!$C$5:$E$42,3,FALSE)*D39*E39,"NA")</f>
        <v>NA</v>
      </c>
      <c r="T39" s="166" t="str">
        <f>IFERROR(VLOOKUP(H39,'FE Estancias de hotel'!$C$5:$E$42,3,FALSE)*I39*J39,"NA")</f>
        <v>NA</v>
      </c>
    </row>
    <row r="40" spans="2:20" x14ac:dyDescent="0.3">
      <c r="B40" s="26">
        <v>32</v>
      </c>
      <c r="C40" s="25"/>
      <c r="D40" s="25"/>
      <c r="E40" s="25"/>
      <c r="G40" s="26">
        <v>32</v>
      </c>
      <c r="H40" s="25"/>
      <c r="I40" s="25"/>
      <c r="J40" s="25"/>
      <c r="S40" s="166" t="str">
        <f>IFERROR(VLOOKUP(C40,'FE Estancias de hotel'!$C$5:$E$42,3,FALSE)*D40*E40,"NA")</f>
        <v>NA</v>
      </c>
      <c r="T40" s="166" t="str">
        <f>IFERROR(VLOOKUP(H40,'FE Estancias de hotel'!$C$5:$E$42,3,FALSE)*I40*J40,"NA")</f>
        <v>NA</v>
      </c>
    </row>
    <row r="41" spans="2:20" x14ac:dyDescent="0.3">
      <c r="B41" s="26">
        <v>33</v>
      </c>
      <c r="C41" s="25"/>
      <c r="D41" s="25"/>
      <c r="E41" s="25"/>
      <c r="G41" s="26">
        <v>33</v>
      </c>
      <c r="H41" s="25"/>
      <c r="I41" s="25"/>
      <c r="J41" s="25"/>
      <c r="S41" s="166" t="str">
        <f>IFERROR(VLOOKUP(C41,'FE Estancias de hotel'!$C$5:$E$42,3,FALSE)*D41*E41,"NA")</f>
        <v>NA</v>
      </c>
      <c r="T41" s="166" t="str">
        <f>IFERROR(VLOOKUP(H41,'FE Estancias de hotel'!$C$5:$E$42,3,FALSE)*I41*J41,"NA")</f>
        <v>NA</v>
      </c>
    </row>
    <row r="42" spans="2:20" x14ac:dyDescent="0.3">
      <c r="B42" s="26">
        <v>34</v>
      </c>
      <c r="C42" s="25"/>
      <c r="D42" s="25"/>
      <c r="E42" s="25"/>
      <c r="G42" s="26">
        <v>34</v>
      </c>
      <c r="H42" s="25"/>
      <c r="I42" s="25"/>
      <c r="J42" s="25"/>
      <c r="S42" s="166" t="str">
        <f>IFERROR(VLOOKUP(C42,'FE Estancias de hotel'!$C$5:$E$42,3,FALSE)*D42*E42,"NA")</f>
        <v>NA</v>
      </c>
      <c r="T42" s="166" t="str">
        <f>IFERROR(VLOOKUP(H42,'FE Estancias de hotel'!$C$5:$E$42,3,FALSE)*I42*J42,"NA")</f>
        <v>NA</v>
      </c>
    </row>
    <row r="43" spans="2:20" x14ac:dyDescent="0.3">
      <c r="B43" s="26">
        <v>35</v>
      </c>
      <c r="C43" s="25"/>
      <c r="D43" s="25"/>
      <c r="E43" s="25"/>
      <c r="G43" s="26">
        <v>35</v>
      </c>
      <c r="H43" s="25"/>
      <c r="I43" s="25"/>
      <c r="J43" s="25"/>
      <c r="S43" s="166" t="str">
        <f>IFERROR(VLOOKUP(C43,'FE Estancias de hotel'!$C$5:$E$42,3,FALSE)*D43*E43,"NA")</f>
        <v>NA</v>
      </c>
      <c r="T43" s="166" t="str">
        <f>IFERROR(VLOOKUP(H43,'FE Estancias de hotel'!$C$5:$E$42,3,FALSE)*I43*J43,"NA")</f>
        <v>NA</v>
      </c>
    </row>
    <row r="44" spans="2:20" x14ac:dyDescent="0.3">
      <c r="B44" s="26">
        <v>36</v>
      </c>
      <c r="C44" s="25"/>
      <c r="D44" s="25"/>
      <c r="E44" s="25"/>
      <c r="G44" s="26">
        <v>36</v>
      </c>
      <c r="H44" s="25"/>
      <c r="I44" s="25"/>
      <c r="J44" s="25"/>
      <c r="S44" s="166" t="str">
        <f>IFERROR(VLOOKUP(C44,'FE Estancias de hotel'!$C$5:$E$42,3,FALSE)*D44*E44,"NA")</f>
        <v>NA</v>
      </c>
      <c r="T44" s="166" t="str">
        <f>IFERROR(VLOOKUP(H44,'FE Estancias de hotel'!$C$5:$E$42,3,FALSE)*I44*J44,"NA")</f>
        <v>NA</v>
      </c>
    </row>
    <row r="45" spans="2:20" x14ac:dyDescent="0.3">
      <c r="B45" s="26">
        <v>37</v>
      </c>
      <c r="C45" s="25"/>
      <c r="D45" s="25"/>
      <c r="E45" s="25"/>
      <c r="G45" s="26">
        <v>37</v>
      </c>
      <c r="H45" s="25"/>
      <c r="I45" s="25"/>
      <c r="J45" s="25"/>
      <c r="S45" s="166" t="str">
        <f>IFERROR(VLOOKUP(C45,'FE Estancias de hotel'!$C$5:$E$42,3,FALSE)*D45*E45,"NA")</f>
        <v>NA</v>
      </c>
      <c r="T45" s="166" t="str">
        <f>IFERROR(VLOOKUP(H45,'FE Estancias de hotel'!$C$5:$E$42,3,FALSE)*I45*J45,"NA")</f>
        <v>NA</v>
      </c>
    </row>
    <row r="46" spans="2:20" x14ac:dyDescent="0.3">
      <c r="B46" s="26">
        <v>38</v>
      </c>
      <c r="C46" s="25"/>
      <c r="D46" s="25"/>
      <c r="E46" s="25"/>
      <c r="G46" s="26">
        <v>38</v>
      </c>
      <c r="H46" s="25"/>
      <c r="I46" s="25"/>
      <c r="J46" s="25"/>
      <c r="S46" s="166" t="str">
        <f>IFERROR(VLOOKUP(C46,'FE Estancias de hotel'!$C$5:$E$42,3,FALSE)*D46*E46,"NA")</f>
        <v>NA</v>
      </c>
      <c r="T46" s="166" t="str">
        <f>IFERROR(VLOOKUP(H46,'FE Estancias de hotel'!$C$5:$E$42,3,FALSE)*I46*J46,"NA")</f>
        <v>NA</v>
      </c>
    </row>
    <row r="47" spans="2:20" x14ac:dyDescent="0.3">
      <c r="B47" s="26">
        <v>39</v>
      </c>
      <c r="C47" s="25"/>
      <c r="D47" s="25"/>
      <c r="E47" s="25"/>
      <c r="G47" s="26">
        <v>39</v>
      </c>
      <c r="H47" s="25"/>
      <c r="I47" s="25"/>
      <c r="J47" s="25"/>
      <c r="S47" s="166" t="str">
        <f>IFERROR(VLOOKUP(C47,'FE Estancias de hotel'!$C$5:$E$42,3,FALSE)*D47*E47,"NA")</f>
        <v>NA</v>
      </c>
      <c r="T47" s="166" t="str">
        <f>IFERROR(VLOOKUP(H47,'FE Estancias de hotel'!$C$5:$E$42,3,FALSE)*I47*J47,"NA")</f>
        <v>NA</v>
      </c>
    </row>
    <row r="48" spans="2:20" x14ac:dyDescent="0.3">
      <c r="B48" s="26">
        <v>40</v>
      </c>
      <c r="C48" s="25"/>
      <c r="D48" s="25"/>
      <c r="E48" s="25"/>
      <c r="G48" s="26">
        <v>40</v>
      </c>
      <c r="H48" s="25"/>
      <c r="I48" s="25"/>
      <c r="J48" s="25"/>
      <c r="S48" s="166" t="str">
        <f>IFERROR(VLOOKUP(C48,'FE Estancias de hotel'!$C$5:$E$42,3,FALSE)*D48*E48,"NA")</f>
        <v>NA</v>
      </c>
      <c r="T48" s="166" t="str">
        <f>IFERROR(VLOOKUP(H48,'FE Estancias de hotel'!$C$5:$E$42,3,FALSE)*I48*J48,"NA")</f>
        <v>NA</v>
      </c>
    </row>
    <row r="49" spans="2:20" x14ac:dyDescent="0.3">
      <c r="B49" s="26">
        <v>41</v>
      </c>
      <c r="C49" s="25"/>
      <c r="D49" s="25"/>
      <c r="E49" s="25"/>
      <c r="G49" s="26">
        <v>41</v>
      </c>
      <c r="H49" s="25"/>
      <c r="I49" s="25"/>
      <c r="J49" s="25"/>
      <c r="S49" s="166" t="str">
        <f>IFERROR(VLOOKUP(C49,'FE Estancias de hotel'!$C$5:$E$42,3,FALSE)*D49*E49,"NA")</f>
        <v>NA</v>
      </c>
      <c r="T49" s="166" t="str">
        <f>IFERROR(VLOOKUP(H49,'FE Estancias de hotel'!$C$5:$E$42,3,FALSE)*I49*J49,"NA")</f>
        <v>NA</v>
      </c>
    </row>
    <row r="50" spans="2:20" x14ac:dyDescent="0.3">
      <c r="B50" s="26">
        <v>42</v>
      </c>
      <c r="C50" s="25"/>
      <c r="D50" s="25"/>
      <c r="E50" s="25"/>
      <c r="G50" s="26">
        <v>42</v>
      </c>
      <c r="H50" s="25"/>
      <c r="I50" s="25"/>
      <c r="J50" s="25"/>
      <c r="S50" s="166" t="str">
        <f>IFERROR(VLOOKUP(C50,'FE Estancias de hotel'!$C$5:$E$42,3,FALSE)*D50*E50,"NA")</f>
        <v>NA</v>
      </c>
      <c r="T50" s="166" t="str">
        <f>IFERROR(VLOOKUP(H50,'FE Estancias de hotel'!$C$5:$E$42,3,FALSE)*I50*J50,"NA")</f>
        <v>NA</v>
      </c>
    </row>
    <row r="51" spans="2:20" x14ac:dyDescent="0.3">
      <c r="B51" s="26">
        <v>43</v>
      </c>
      <c r="C51" s="25"/>
      <c r="D51" s="25"/>
      <c r="E51" s="25"/>
      <c r="G51" s="26">
        <v>43</v>
      </c>
      <c r="H51" s="25"/>
      <c r="I51" s="25"/>
      <c r="J51" s="25"/>
      <c r="S51" s="166" t="str">
        <f>IFERROR(VLOOKUP(C51,'FE Estancias de hotel'!$C$5:$E$42,3,FALSE)*D51*E51,"NA")</f>
        <v>NA</v>
      </c>
      <c r="T51" s="166" t="str">
        <f>IFERROR(VLOOKUP(H51,'FE Estancias de hotel'!$C$5:$E$42,3,FALSE)*I51*J51,"NA")</f>
        <v>NA</v>
      </c>
    </row>
    <row r="52" spans="2:20" x14ac:dyDescent="0.3">
      <c r="B52" s="26">
        <v>44</v>
      </c>
      <c r="C52" s="25"/>
      <c r="D52" s="25"/>
      <c r="E52" s="25"/>
      <c r="G52" s="26">
        <v>44</v>
      </c>
      <c r="H52" s="25"/>
      <c r="I52" s="25"/>
      <c r="J52" s="25"/>
      <c r="S52" s="166" t="str">
        <f>IFERROR(VLOOKUP(C52,'FE Estancias de hotel'!$C$5:$E$42,3,FALSE)*D52*E52,"NA")</f>
        <v>NA</v>
      </c>
      <c r="T52" s="166" t="str">
        <f>IFERROR(VLOOKUP(H52,'FE Estancias de hotel'!$C$5:$E$42,3,FALSE)*I52*J52,"NA")</f>
        <v>NA</v>
      </c>
    </row>
    <row r="53" spans="2:20" x14ac:dyDescent="0.3">
      <c r="B53" s="26">
        <v>45</v>
      </c>
      <c r="C53" s="25"/>
      <c r="D53" s="25"/>
      <c r="E53" s="25"/>
      <c r="G53" s="26">
        <v>45</v>
      </c>
      <c r="H53" s="25"/>
      <c r="I53" s="25"/>
      <c r="J53" s="25"/>
      <c r="S53" s="166" t="str">
        <f>IFERROR(VLOOKUP(C53,'FE Estancias de hotel'!$C$5:$E$42,3,FALSE)*D53*E53,"NA")</f>
        <v>NA</v>
      </c>
      <c r="T53" s="166" t="str">
        <f>IFERROR(VLOOKUP(H53,'FE Estancias de hotel'!$C$5:$E$42,3,FALSE)*I53*J53,"NA")</f>
        <v>NA</v>
      </c>
    </row>
    <row r="54" spans="2:20" x14ac:dyDescent="0.3">
      <c r="B54" s="26">
        <v>46</v>
      </c>
      <c r="C54" s="25"/>
      <c r="D54" s="25"/>
      <c r="E54" s="25"/>
      <c r="G54" s="26">
        <v>46</v>
      </c>
      <c r="H54" s="25"/>
      <c r="I54" s="25"/>
      <c r="J54" s="25"/>
      <c r="S54" s="166" t="str">
        <f>IFERROR(VLOOKUP(C54,'FE Estancias de hotel'!$C$5:$E$42,3,FALSE)*D54*E54,"NA")</f>
        <v>NA</v>
      </c>
      <c r="T54" s="166" t="str">
        <f>IFERROR(VLOOKUP(H54,'FE Estancias de hotel'!$C$5:$E$42,3,FALSE)*I54*J54,"NA")</f>
        <v>NA</v>
      </c>
    </row>
    <row r="55" spans="2:20" x14ac:dyDescent="0.3">
      <c r="B55" s="26">
        <v>47</v>
      </c>
      <c r="C55" s="25"/>
      <c r="D55" s="25"/>
      <c r="E55" s="25"/>
      <c r="G55" s="26">
        <v>47</v>
      </c>
      <c r="H55" s="25"/>
      <c r="I55" s="25"/>
      <c r="J55" s="25"/>
      <c r="S55" s="166" t="str">
        <f>IFERROR(VLOOKUP(C55,'FE Estancias de hotel'!$C$5:$E$42,3,FALSE)*D55*E55,"NA")</f>
        <v>NA</v>
      </c>
      <c r="T55" s="166" t="str">
        <f>IFERROR(VLOOKUP(H55,'FE Estancias de hotel'!$C$5:$E$42,3,FALSE)*I55*J55,"NA")</f>
        <v>NA</v>
      </c>
    </row>
    <row r="56" spans="2:20" x14ac:dyDescent="0.3">
      <c r="B56" s="26">
        <v>48</v>
      </c>
      <c r="C56" s="25"/>
      <c r="D56" s="25"/>
      <c r="E56" s="25"/>
      <c r="G56" s="26">
        <v>48</v>
      </c>
      <c r="H56" s="25"/>
      <c r="I56" s="25"/>
      <c r="J56" s="25"/>
      <c r="S56" s="166" t="str">
        <f>IFERROR(VLOOKUP(C56,'FE Estancias de hotel'!$C$5:$E$42,3,FALSE)*D56*E56,"NA")</f>
        <v>NA</v>
      </c>
      <c r="T56" s="166" t="str">
        <f>IFERROR(VLOOKUP(H56,'FE Estancias de hotel'!$C$5:$E$42,3,FALSE)*I56*J56,"NA")</f>
        <v>NA</v>
      </c>
    </row>
    <row r="57" spans="2:20" x14ac:dyDescent="0.3">
      <c r="B57" s="26">
        <v>49</v>
      </c>
      <c r="C57" s="25"/>
      <c r="D57" s="25"/>
      <c r="E57" s="25"/>
      <c r="G57" s="26">
        <v>49</v>
      </c>
      <c r="H57" s="25"/>
      <c r="I57" s="25"/>
      <c r="J57" s="25"/>
      <c r="S57" s="166" t="str">
        <f>IFERROR(VLOOKUP(C57,'FE Estancias de hotel'!$C$5:$E$42,3,FALSE)*D57*E57,"NA")</f>
        <v>NA</v>
      </c>
      <c r="T57" s="166" t="str">
        <f>IFERROR(VLOOKUP(H57,'FE Estancias de hotel'!$C$5:$E$42,3,FALSE)*I57*J57,"NA")</f>
        <v>NA</v>
      </c>
    </row>
    <row r="58" spans="2:20" x14ac:dyDescent="0.3">
      <c r="B58" s="26">
        <v>50</v>
      </c>
      <c r="C58" s="25"/>
      <c r="D58" s="25"/>
      <c r="E58" s="25"/>
      <c r="G58" s="26">
        <v>50</v>
      </c>
      <c r="H58" s="25"/>
      <c r="I58" s="25"/>
      <c r="J58" s="25"/>
      <c r="S58" s="166" t="str">
        <f>IFERROR(VLOOKUP(C58,'FE Estancias de hotel'!$C$5:$E$42,3,FALSE)*D58*E58,"NA")</f>
        <v>NA</v>
      </c>
      <c r="T58" s="166" t="str">
        <f>IFERROR(VLOOKUP(H58,'FE Estancias de hotel'!$C$5:$E$42,3,FALSE)*I58*J58,"NA")</f>
        <v>NA</v>
      </c>
    </row>
    <row r="59" spans="2:20" x14ac:dyDescent="0.3">
      <c r="B59" s="5"/>
    </row>
    <row r="61" spans="2:20" ht="28.8" x14ac:dyDescent="0.3">
      <c r="D61" s="84" t="s">
        <v>77</v>
      </c>
      <c r="E61" s="85">
        <f>SUM(S9:S58)</f>
        <v>36.599999999999994</v>
      </c>
      <c r="I61" s="84" t="s">
        <v>77</v>
      </c>
      <c r="J61" s="85">
        <f>SUM(T9:T58)</f>
        <v>61</v>
      </c>
    </row>
  </sheetData>
  <sheetProtection algorithmName="SHA-512" hashValue="KAlERdnD9EJERxxfPsQb9LiKwavWZ13nZifLD4MmB0+8ebwEer1/OJhuIHrC+aKIhBmSlsyzKZsFp0hTTgfpGQ==" saltValue="HXlfR0T06FMAX/zGRIM3HA==" spinCount="100000" sheet="1" objects="1" scenarios="1"/>
  <protectedRanges>
    <protectedRange sqref="S9:T58 H9:J58 C9:E58" name="Rango2"/>
  </protectedRanges>
  <mergeCells count="13">
    <mergeCell ref="S7:S8"/>
    <mergeCell ref="T7:T8"/>
    <mergeCell ref="B5:E5"/>
    <mergeCell ref="G5:J5"/>
    <mergeCell ref="K2:L2"/>
    <mergeCell ref="J7:J8"/>
    <mergeCell ref="E7:E8"/>
    <mergeCell ref="D7:D8"/>
    <mergeCell ref="B7:B8"/>
    <mergeCell ref="C7:C8"/>
    <mergeCell ref="G7:G8"/>
    <mergeCell ref="H7:H8"/>
    <mergeCell ref="I7:I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8B53BF6-9ECD-4354-A7E8-FDAA53AB7A63}">
          <x14:formula1>
            <xm:f>'FE Estancias de hotel'!$C$5:$C$42</xm:f>
          </x14:formula1>
          <xm:sqref>C9:C58 H9:H58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8437D-95BB-412F-9513-89892EFF008C}">
  <dimension ref="B1:AD78"/>
  <sheetViews>
    <sheetView workbookViewId="0">
      <selection activeCell="G15" sqref="G15"/>
    </sheetView>
  </sheetViews>
  <sheetFormatPr baseColWidth="10" defaultColWidth="9.109375" defaultRowHeight="15" customHeight="1" x14ac:dyDescent="0.3"/>
  <cols>
    <col min="1" max="1" width="4.5546875" style="1" customWidth="1"/>
    <col min="2" max="2" width="42.109375" style="1" customWidth="1"/>
    <col min="3" max="3" width="32.6640625" style="1" customWidth="1"/>
    <col min="4" max="4" width="28.33203125" style="1" customWidth="1"/>
    <col min="5" max="5" width="19.88671875" style="1" customWidth="1"/>
    <col min="6" max="6" width="15.33203125" style="1" customWidth="1"/>
    <col min="7" max="7" width="14.5546875" style="1" customWidth="1"/>
    <col min="8" max="13" width="9.109375" style="1"/>
    <col min="14" max="14" width="9.109375" style="169"/>
    <col min="15" max="17" width="0" style="169" hidden="1" customWidth="1"/>
    <col min="18" max="19" width="9.109375" style="170" hidden="1" customWidth="1"/>
    <col min="20" max="20" width="24.5546875" style="170" hidden="1" customWidth="1"/>
    <col min="21" max="21" width="22.109375" style="170" hidden="1" customWidth="1"/>
    <col min="22" max="22" width="23" style="170" hidden="1" customWidth="1"/>
    <col min="23" max="23" width="17.6640625" style="170" hidden="1" customWidth="1"/>
    <col min="24" max="24" width="19.5546875" style="170" hidden="1" customWidth="1"/>
    <col min="25" max="26" width="9.109375" style="144" customWidth="1"/>
    <col min="27" max="30" width="23.33203125" style="1" customWidth="1"/>
    <col min="31" max="16384" width="9.109375" style="1"/>
  </cols>
  <sheetData>
    <row r="1" spans="2:30" ht="14.4" x14ac:dyDescent="0.3"/>
    <row r="2" spans="2:30" ht="25.8" x14ac:dyDescent="0.3">
      <c r="B2" s="10" t="s">
        <v>237</v>
      </c>
    </row>
    <row r="3" spans="2:30" ht="14.4" x14ac:dyDescent="0.3"/>
    <row r="4" spans="2:30" ht="21" x14ac:dyDescent="0.3">
      <c r="B4" s="215" t="s">
        <v>238</v>
      </c>
      <c r="C4" s="215"/>
      <c r="D4" s="215"/>
    </row>
    <row r="5" spans="2:30" ht="14.4" x14ac:dyDescent="0.3">
      <c r="B5" s="27" t="s">
        <v>239</v>
      </c>
    </row>
    <row r="6" spans="2:30" ht="14.4" x14ac:dyDescent="0.3">
      <c r="B6" s="28" t="s">
        <v>240</v>
      </c>
    </row>
    <row r="7" spans="2:30" ht="14.4" x14ac:dyDescent="0.3"/>
    <row r="8" spans="2:30" ht="28.8" x14ac:dyDescent="0.3">
      <c r="B8" s="29" t="s">
        <v>241</v>
      </c>
      <c r="C8" s="29" t="s">
        <v>242</v>
      </c>
      <c r="D8" s="29" t="s">
        <v>243</v>
      </c>
      <c r="T8" s="147" t="s">
        <v>244</v>
      </c>
    </row>
    <row r="9" spans="2:30" ht="28.95" customHeight="1" x14ac:dyDescent="0.3">
      <c r="B9" s="25" t="s">
        <v>245</v>
      </c>
      <c r="C9" s="125" t="s">
        <v>246</v>
      </c>
      <c r="D9" s="23">
        <v>50</v>
      </c>
      <c r="T9" s="167">
        <f>(D9/1000)*VLOOKUP(B9,'FE Materiales y Residuos'!$B$6:$D$17,2,FALSE)</f>
        <v>43.403497225729119</v>
      </c>
    </row>
    <row r="10" spans="2:30" ht="14.4" x14ac:dyDescent="0.3">
      <c r="B10" s="25" t="s">
        <v>247</v>
      </c>
      <c r="C10" s="125"/>
      <c r="D10" s="23">
        <v>4</v>
      </c>
      <c r="T10" s="167">
        <f>(D10/1000)*VLOOKUP(B10,'FE Materiales y Residuos'!$B$6:$D$17,2,FALSE)</f>
        <v>12.409794021761176</v>
      </c>
    </row>
    <row r="11" spans="2:30" ht="14.4" x14ac:dyDescent="0.3">
      <c r="B11" s="25" t="s">
        <v>248</v>
      </c>
      <c r="C11" s="125"/>
      <c r="D11" s="23">
        <v>0</v>
      </c>
      <c r="T11" s="167">
        <f>(D11/1000)*VLOOKUP(B11,'FE Materiales y Residuos'!$B$6:$D$17,2,FALSE)</f>
        <v>0</v>
      </c>
    </row>
    <row r="12" spans="2:30" ht="14.4" x14ac:dyDescent="0.3">
      <c r="B12" s="25" t="s">
        <v>249</v>
      </c>
      <c r="C12" s="125"/>
      <c r="D12" s="23">
        <v>1</v>
      </c>
      <c r="T12" s="167">
        <f>(D12/1000)*VLOOKUP(B12,'FE Materiales y Residuos'!$B$6:$D$17,2,FALSE)</f>
        <v>1.4027666666666665</v>
      </c>
    </row>
    <row r="13" spans="2:30" ht="14.4" x14ac:dyDescent="0.3">
      <c r="B13" s="25" t="s">
        <v>250</v>
      </c>
      <c r="C13" s="125"/>
      <c r="D13" s="23">
        <v>0</v>
      </c>
      <c r="T13" s="167">
        <f>(D13/1000)*VLOOKUP(B13,'FE Materiales y Residuos'!$B$6:$D$17,2,FALSE)</f>
        <v>0</v>
      </c>
    </row>
    <row r="14" spans="2:30" ht="28.8" x14ac:dyDescent="0.3">
      <c r="B14" s="25" t="s">
        <v>251</v>
      </c>
      <c r="C14" s="125" t="s">
        <v>252</v>
      </c>
      <c r="D14" s="23"/>
      <c r="T14" s="167">
        <f>(D14/1000)*VLOOKUP(B14,'FE Materiales y Residuos'!$B$6:$D$17,2,FALSE)</f>
        <v>0</v>
      </c>
    </row>
    <row r="15" spans="2:30" ht="43.2" x14ac:dyDescent="0.3">
      <c r="B15" s="25" t="s">
        <v>253</v>
      </c>
      <c r="C15" s="125" t="s">
        <v>254</v>
      </c>
      <c r="D15" s="23"/>
      <c r="T15" s="167">
        <f>(D15/1000)*VLOOKUP(B15,'FE Materiales y Residuos'!$B$6:$D$17,2,FALSE)</f>
        <v>0</v>
      </c>
      <c r="AD15" s="3"/>
    </row>
    <row r="16" spans="2:30" ht="14.4" x14ac:dyDescent="0.3">
      <c r="B16" s="25" t="s">
        <v>255</v>
      </c>
      <c r="C16" s="125" t="s">
        <v>256</v>
      </c>
      <c r="D16" s="23"/>
      <c r="T16" s="167">
        <f>(D16/1000)*VLOOKUP(B16,'FE Materiales y Residuos'!$B$6:$D$17,2,FALSE)</f>
        <v>0</v>
      </c>
    </row>
    <row r="17" spans="2:20" ht="15" customHeight="1" x14ac:dyDescent="0.3">
      <c r="B17" s="25" t="s">
        <v>257</v>
      </c>
      <c r="C17" s="125" t="s">
        <v>258</v>
      </c>
      <c r="D17" s="23"/>
      <c r="T17" s="167">
        <f>(D17/1000)*VLOOKUP(B17,'FE Materiales y Residuos'!$B$6:$D$17,2,FALSE)</f>
        <v>0</v>
      </c>
    </row>
    <row r="18" spans="2:20" ht="15" customHeight="1" x14ac:dyDescent="0.3">
      <c r="B18" s="25" t="s">
        <v>259</v>
      </c>
      <c r="C18" s="125"/>
      <c r="D18" s="23"/>
      <c r="T18" s="167">
        <f>(D18/1000)*VLOOKUP(B18,'FE Materiales y Residuos'!$B$6:$D$17,2,FALSE)</f>
        <v>0</v>
      </c>
    </row>
    <row r="19" spans="2:20" ht="15" customHeight="1" x14ac:dyDescent="0.3">
      <c r="B19" s="25" t="s">
        <v>260</v>
      </c>
      <c r="C19" s="125"/>
      <c r="D19" s="23"/>
      <c r="T19" s="167">
        <f>(D19/1000)*VLOOKUP(B19,'FE Materiales y Residuos'!$B$6:$D$17,2,FALSE)</f>
        <v>0</v>
      </c>
    </row>
    <row r="20" spans="2:20" ht="15" customHeight="1" x14ac:dyDescent="0.3">
      <c r="B20" s="25" t="s">
        <v>261</v>
      </c>
      <c r="C20" s="125"/>
      <c r="D20" s="23"/>
      <c r="T20" s="167">
        <f>(D20/1000)*VLOOKUP(B20,'FE Materiales y Residuos'!$B$6:$D$17,2,FALSE)</f>
        <v>0</v>
      </c>
    </row>
    <row r="21" spans="2:20" ht="15" customHeight="1" x14ac:dyDescent="0.3">
      <c r="D21" s="3"/>
    </row>
    <row r="22" spans="2:20" ht="15" customHeight="1" x14ac:dyDescent="0.3">
      <c r="D22" s="3"/>
    </row>
    <row r="23" spans="2:20" ht="35.4" customHeight="1" x14ac:dyDescent="0.3">
      <c r="C23" s="84" t="s">
        <v>77</v>
      </c>
      <c r="D23" s="85">
        <f>SUM(T9:T20)</f>
        <v>57.216057914156963</v>
      </c>
    </row>
    <row r="25" spans="2:20" ht="43.95" customHeight="1" x14ac:dyDescent="0.3"/>
    <row r="27" spans="2:20" ht="15.6" customHeight="1" x14ac:dyDescent="0.3"/>
    <row r="28" spans="2:20" ht="24.6" customHeight="1" x14ac:dyDescent="0.3">
      <c r="B28" s="215" t="s">
        <v>262</v>
      </c>
      <c r="C28" s="215"/>
      <c r="D28" s="215"/>
      <c r="E28" s="215"/>
      <c r="F28" s="215"/>
      <c r="G28" s="215"/>
    </row>
    <row r="29" spans="2:20" ht="15" customHeight="1" x14ac:dyDescent="0.3">
      <c r="B29" s="27" t="s">
        <v>263</v>
      </c>
    </row>
    <row r="30" spans="2:20" ht="15" customHeight="1" x14ac:dyDescent="0.3">
      <c r="B30" s="28" t="s">
        <v>264</v>
      </c>
    </row>
    <row r="33" spans="2:24" ht="28.2" customHeight="1" x14ac:dyDescent="0.3">
      <c r="C33" s="259" t="s">
        <v>265</v>
      </c>
      <c r="D33" s="260"/>
      <c r="E33" s="259" t="s">
        <v>266</v>
      </c>
      <c r="F33" s="261"/>
      <c r="G33" s="260"/>
      <c r="T33" s="256" t="s">
        <v>267</v>
      </c>
      <c r="U33" s="257"/>
      <c r="V33" s="256" t="s">
        <v>268</v>
      </c>
      <c r="W33" s="258"/>
      <c r="X33" s="257"/>
    </row>
    <row r="34" spans="2:24" ht="33.6" customHeight="1" x14ac:dyDescent="0.3">
      <c r="C34" s="29" t="s">
        <v>269</v>
      </c>
      <c r="D34" s="29" t="s">
        <v>270</v>
      </c>
      <c r="E34" s="29" t="s">
        <v>271</v>
      </c>
      <c r="F34" s="29" t="s">
        <v>272</v>
      </c>
      <c r="G34" s="29" t="s">
        <v>273</v>
      </c>
      <c r="T34" s="168" t="s">
        <v>269</v>
      </c>
      <c r="U34" s="168" t="s">
        <v>270</v>
      </c>
      <c r="V34" s="168" t="s">
        <v>271</v>
      </c>
      <c r="W34" s="168" t="s">
        <v>272</v>
      </c>
      <c r="X34" s="168" t="s">
        <v>273</v>
      </c>
    </row>
    <row r="35" spans="2:24" ht="15" customHeight="1" x14ac:dyDescent="0.3">
      <c r="B35" s="25" t="s">
        <v>245</v>
      </c>
      <c r="C35" s="25"/>
      <c r="D35" s="25"/>
      <c r="E35" s="25"/>
      <c r="F35" s="25"/>
      <c r="G35" s="25"/>
      <c r="T35" s="166">
        <f>IFERROR(C35*(VLOOKUP(B35,'FE Materiales y Residuos'!$B$26:$G$37,2,FALSE))," ")</f>
        <v>0</v>
      </c>
      <c r="U35" s="166">
        <f>IFERROR(D35*VLOOKUP(B35,'FE Materiales y Residuos'!$B$26:$G$37,3,FALSE)," ")</f>
        <v>0</v>
      </c>
      <c r="V35" s="166">
        <f>IFERROR(E35*VLOOKUP(B35,'FE Materiales y Residuos'!$B$26:$G$37,4,FALSE)," ")</f>
        <v>0</v>
      </c>
      <c r="W35" s="166">
        <f>IFERROR(F35*VLOOKUP(B35,'FE Materiales y Residuos'!$B$26:$G$37,5,FALSE)," ")</f>
        <v>0</v>
      </c>
      <c r="X35" s="166">
        <f>IFERROR(G35*VLOOKUP(B36,'FE Materiales y Residuos'!$B$26:$G$37,6,FALSE)," ")</f>
        <v>0</v>
      </c>
    </row>
    <row r="36" spans="2:24" ht="48" customHeight="1" x14ac:dyDescent="0.3">
      <c r="B36" s="25" t="s">
        <v>247</v>
      </c>
      <c r="C36" s="25">
        <v>2</v>
      </c>
      <c r="D36" s="25">
        <v>2</v>
      </c>
      <c r="E36" s="25">
        <v>2</v>
      </c>
      <c r="F36" s="25"/>
      <c r="G36" s="25">
        <v>2</v>
      </c>
      <c r="T36" s="166">
        <f>IFERROR(C36*(VLOOKUP(B36,'FE Materiales y Residuos'!$B$26:$G$37,2,FALSE))," ")</f>
        <v>42.561614473752662</v>
      </c>
      <c r="U36" s="166">
        <f>IFERROR(D36*VLOOKUP(B36,'FE Materiales y Residuos'!$B$26:$G$37,3,FALSE)," ")</f>
        <v>42.561614473752662</v>
      </c>
      <c r="V36" s="166">
        <f>IFERROR(E36*VLOOKUP(B36,'FE Materiales y Residuos'!$B$26:$G$37,4,FALSE)," ")</f>
        <v>42.561614473752662</v>
      </c>
      <c r="W36" s="166">
        <f>IFERROR(F36*VLOOKUP(B36,'FE Materiales y Residuos'!$B$26:$G$37,5,FALSE)," ")</f>
        <v>0</v>
      </c>
      <c r="X36" s="166">
        <f>IFERROR(G36*VLOOKUP(B37,'FE Materiales y Residuos'!$B$26:$G$37,6,FALSE)," ")</f>
        <v>17.76826026325373</v>
      </c>
    </row>
    <row r="37" spans="2:24" ht="14.4" x14ac:dyDescent="0.3">
      <c r="B37" s="25" t="s">
        <v>248</v>
      </c>
      <c r="C37" s="25"/>
      <c r="D37" s="25"/>
      <c r="E37" s="25"/>
      <c r="F37" s="25"/>
      <c r="G37" s="25"/>
      <c r="T37" s="166">
        <f>IFERROR(C37*(VLOOKUP(B37,'FE Materiales y Residuos'!$B$26:$G$37,2,FALSE))," ")</f>
        <v>0</v>
      </c>
      <c r="U37" s="166">
        <f>IFERROR(D37*VLOOKUP(B37,'FE Materiales y Residuos'!$B$26:$G$37,3,FALSE)," ")</f>
        <v>0</v>
      </c>
      <c r="V37" s="166">
        <f>IFERROR(E37*VLOOKUP(B37,'FE Materiales y Residuos'!$B$26:$G$37,4,FALSE)," ")</f>
        <v>0</v>
      </c>
      <c r="W37" s="166">
        <f>IFERROR(F37*VLOOKUP(B37,'FE Materiales y Residuos'!$B$26:$G$37,5,FALSE)," ")</f>
        <v>0</v>
      </c>
      <c r="X37" s="166">
        <f>IFERROR(G37*VLOOKUP(B38,'FE Materiales y Residuos'!$B$26:$G$37,6,FALSE)," ")</f>
        <v>0</v>
      </c>
    </row>
    <row r="38" spans="2:24" ht="14.4" x14ac:dyDescent="0.3">
      <c r="B38" s="25" t="s">
        <v>249</v>
      </c>
      <c r="C38" s="25"/>
      <c r="D38" s="25"/>
      <c r="E38" s="25"/>
      <c r="F38" s="25"/>
      <c r="G38" s="25"/>
      <c r="T38" s="166">
        <f>IFERROR(C38*(VLOOKUP(B38,'FE Materiales y Residuos'!$B$26:$G$37,2,FALSE))," ")</f>
        <v>0</v>
      </c>
      <c r="U38" s="166">
        <f>IFERROR(D38*VLOOKUP(B38,'FE Materiales y Residuos'!$B$26:$G$37,3,FALSE)," ")</f>
        <v>0</v>
      </c>
      <c r="V38" s="166">
        <f>IFERROR(E38*VLOOKUP(B38,'FE Materiales y Residuos'!$B$26:$G$37,4,FALSE)," ")</f>
        <v>0</v>
      </c>
      <c r="W38" s="166">
        <f>IFERROR(F38*VLOOKUP(B38,'FE Materiales y Residuos'!$B$26:$G$37,5,FALSE)," ")</f>
        <v>0</v>
      </c>
      <c r="X38" s="166">
        <f>IFERROR(G38*VLOOKUP(B39,'FE Materiales y Residuos'!$B$26:$G$37,6,FALSE)," ")</f>
        <v>0</v>
      </c>
    </row>
    <row r="39" spans="2:24" ht="14.4" x14ac:dyDescent="0.3">
      <c r="B39" s="25" t="s">
        <v>250</v>
      </c>
      <c r="C39" s="25"/>
      <c r="D39" s="25"/>
      <c r="E39" s="25"/>
      <c r="F39" s="25">
        <v>5</v>
      </c>
      <c r="G39" s="25"/>
      <c r="T39" s="166">
        <f>IFERROR(C39*(VLOOKUP(B39,'FE Materiales y Residuos'!$B$26:$G$37,2,FALSE))," ")</f>
        <v>0</v>
      </c>
      <c r="U39" s="166">
        <f>IFERROR(D39*VLOOKUP(B39,'FE Materiales y Residuos'!$B$26:$G$37,3,FALSE)," ")</f>
        <v>0</v>
      </c>
      <c r="V39" s="166">
        <f>IFERROR(E39*VLOOKUP(B39,'FE Materiales y Residuos'!$B$26:$G$37,4,FALSE)," ")</f>
        <v>0</v>
      </c>
      <c r="W39" s="166">
        <f>IFERROR(F39*VLOOKUP(B39,'FE Materiales y Residuos'!$B$26:$G$37,5,FALSE)," ")</f>
        <v>44.562108553144995</v>
      </c>
      <c r="X39" s="166">
        <f>IFERROR(G39*VLOOKUP(B40,'FE Materiales y Residuos'!$B$26:$G$37,6,FALSE)," ")</f>
        <v>0</v>
      </c>
    </row>
    <row r="40" spans="2:24" ht="14.4" x14ac:dyDescent="0.3">
      <c r="B40" s="25" t="s">
        <v>251</v>
      </c>
      <c r="C40" s="25"/>
      <c r="D40" s="25"/>
      <c r="E40" s="25"/>
      <c r="F40" s="25"/>
      <c r="G40" s="25"/>
      <c r="T40" s="166">
        <f>IFERROR(C40*(VLOOKUP(B40,'FE Materiales y Residuos'!$B$26:$G$37,2,FALSE))," ")</f>
        <v>0</v>
      </c>
      <c r="U40" s="166">
        <f>IFERROR(D40*VLOOKUP(B40,'FE Materiales y Residuos'!$B$26:$G$37,3,FALSE)," ")</f>
        <v>0</v>
      </c>
      <c r="V40" s="166">
        <f>IFERROR(E40*VLOOKUP(B40,'FE Materiales y Residuos'!$B$26:$G$37,4,FALSE)," ")</f>
        <v>0</v>
      </c>
      <c r="W40" s="166">
        <f>IFERROR(F40*VLOOKUP(B40,'FE Materiales y Residuos'!$B$26:$G$37,5,FALSE)," ")</f>
        <v>0</v>
      </c>
      <c r="X40" s="166">
        <f>IFERROR(G40*VLOOKUP(B41,'FE Materiales y Residuos'!$B$26:$G$37,6,FALSE)," ")</f>
        <v>0</v>
      </c>
    </row>
    <row r="41" spans="2:24" ht="14.4" x14ac:dyDescent="0.3">
      <c r="B41" s="25" t="s">
        <v>253</v>
      </c>
      <c r="C41" s="25"/>
      <c r="D41" s="25"/>
      <c r="E41" s="25"/>
      <c r="F41" s="25"/>
      <c r="G41" s="25"/>
      <c r="T41" s="166">
        <f>IFERROR(C41*(VLOOKUP(B41,'FE Materiales y Residuos'!$B$26:$G$37,2,FALSE))," ")</f>
        <v>0</v>
      </c>
      <c r="U41" s="166">
        <f>IFERROR(D41*VLOOKUP(B41,'FE Materiales y Residuos'!$B$26:$G$37,3,FALSE)," ")</f>
        <v>0</v>
      </c>
      <c r="V41" s="166">
        <f>IFERROR(E41*VLOOKUP(B41,'FE Materiales y Residuos'!$B$26:$G$37,4,FALSE)," ")</f>
        <v>0</v>
      </c>
      <c r="W41" s="166">
        <f>IFERROR(F41*VLOOKUP(B41,'FE Materiales y Residuos'!$B$26:$G$37,5,FALSE)," ")</f>
        <v>0</v>
      </c>
      <c r="X41" s="166">
        <f>IFERROR(G41*VLOOKUP(B42,'FE Materiales y Residuos'!$B$26:$G$37,6,FALSE)," ")</f>
        <v>0</v>
      </c>
    </row>
    <row r="42" spans="2:24" ht="14.4" x14ac:dyDescent="0.3">
      <c r="B42" s="25" t="s">
        <v>255</v>
      </c>
      <c r="C42" s="25"/>
      <c r="D42" s="25"/>
      <c r="E42" s="25"/>
      <c r="F42" s="25"/>
      <c r="G42" s="25"/>
      <c r="T42" s="166">
        <f>IFERROR(C42*(VLOOKUP(B42,'FE Materiales y Residuos'!$B$26:$G$37,2,FALSE))," ")</f>
        <v>0</v>
      </c>
      <c r="U42" s="166">
        <f>IFERROR(D42*VLOOKUP(B42,'FE Materiales y Residuos'!$B$26:$G$37,3,FALSE)," ")</f>
        <v>0</v>
      </c>
      <c r="V42" s="166">
        <f>IFERROR(E42*VLOOKUP(B42,'FE Materiales y Residuos'!$B$26:$G$37,4,FALSE)," ")</f>
        <v>0</v>
      </c>
      <c r="W42" s="166">
        <f>IFERROR(F42*VLOOKUP(B42,'FE Materiales y Residuos'!$B$26:$G$37,5,FALSE)," ")</f>
        <v>0</v>
      </c>
      <c r="X42" s="166">
        <f>IFERROR(G42*VLOOKUP(B43,'FE Materiales y Residuos'!$B$26:$G$37,6,FALSE)," ")</f>
        <v>0</v>
      </c>
    </row>
    <row r="43" spans="2:24" ht="14.4" x14ac:dyDescent="0.3">
      <c r="B43" s="25" t="s">
        <v>257</v>
      </c>
      <c r="C43" s="25"/>
      <c r="D43" s="25"/>
      <c r="E43" s="25"/>
      <c r="F43" s="25"/>
      <c r="G43" s="25"/>
      <c r="T43" s="166">
        <f>IFERROR(C43*(VLOOKUP(B43,'FE Materiales y Residuos'!$B$26:$G$37,2,FALSE))," ")</f>
        <v>0</v>
      </c>
      <c r="U43" s="166">
        <f>IFERROR(D43*VLOOKUP(B43,'FE Materiales y Residuos'!$B$26:$G$37,3,FALSE)," ")</f>
        <v>0</v>
      </c>
      <c r="V43" s="166">
        <f>IFERROR(E43*VLOOKUP(B43,'FE Materiales y Residuos'!$B$26:$G$37,4,FALSE)," ")</f>
        <v>0</v>
      </c>
      <c r="W43" s="166">
        <f>IFERROR(F43*VLOOKUP(B43,'FE Materiales y Residuos'!$B$26:$G$37,5,FALSE)," ")</f>
        <v>0</v>
      </c>
      <c r="X43" s="166">
        <f>IFERROR(G43*VLOOKUP(B44,'FE Materiales y Residuos'!$B$26:$G$37,6,FALSE)," ")</f>
        <v>0</v>
      </c>
    </row>
    <row r="44" spans="2:24" ht="14.4" x14ac:dyDescent="0.3">
      <c r="B44" s="25" t="s">
        <v>259</v>
      </c>
      <c r="C44" s="25"/>
      <c r="D44" s="25"/>
      <c r="E44" s="25"/>
      <c r="F44" s="25"/>
      <c r="G44" s="25"/>
      <c r="T44" s="166">
        <f>IFERROR(C44*(VLOOKUP(B44,'FE Materiales y Residuos'!$B$26:$G$37,2,FALSE))," ")</f>
        <v>0</v>
      </c>
      <c r="U44" s="166">
        <f>IFERROR(D44*VLOOKUP(B44,'FE Materiales y Residuos'!$B$26:$G$37,3,FALSE)," ")</f>
        <v>0</v>
      </c>
      <c r="V44" s="166">
        <f>IFERROR(E44*VLOOKUP(B44,'FE Materiales y Residuos'!$B$26:$G$37,4,FALSE)," ")</f>
        <v>0</v>
      </c>
      <c r="W44" s="166">
        <f>IFERROR(F44*VLOOKUP(B44,'FE Materiales y Residuos'!$B$26:$G$37,5,FALSE)," ")</f>
        <v>0</v>
      </c>
      <c r="X44" s="166">
        <f>IFERROR(G44*VLOOKUP(B45,'FE Materiales y Residuos'!$B$26:$G$37,6,FALSE)," ")</f>
        <v>0</v>
      </c>
    </row>
    <row r="45" spans="2:24" ht="14.4" x14ac:dyDescent="0.3">
      <c r="B45" s="25" t="s">
        <v>260</v>
      </c>
      <c r="C45" s="25"/>
      <c r="D45" s="25"/>
      <c r="E45" s="25"/>
      <c r="F45" s="25"/>
      <c r="G45" s="25"/>
    </row>
    <row r="46" spans="2:24" ht="14.4" x14ac:dyDescent="0.3">
      <c r="B46" s="25" t="s">
        <v>261</v>
      </c>
      <c r="C46" s="25"/>
      <c r="D46" s="25"/>
      <c r="E46" s="25"/>
      <c r="F46" s="25"/>
      <c r="G46" s="25"/>
    </row>
    <row r="47" spans="2:24" ht="31.5" customHeight="1" x14ac:dyDescent="0.3"/>
    <row r="48" spans="2:24" ht="27.75" customHeight="1" x14ac:dyDescent="0.3">
      <c r="F48" s="84" t="s">
        <v>77</v>
      </c>
      <c r="G48" s="85">
        <f>SUM(T33:X44)</f>
        <v>190.01521223765673</v>
      </c>
    </row>
    <row r="49" ht="21.75" customHeight="1" x14ac:dyDescent="0.3"/>
    <row r="50" ht="14.4" x14ac:dyDescent="0.3"/>
    <row r="51" ht="14.4" x14ac:dyDescent="0.3"/>
    <row r="52" ht="14.4" x14ac:dyDescent="0.3"/>
    <row r="53" ht="14.4" x14ac:dyDescent="0.3"/>
    <row r="54" ht="14.4" x14ac:dyDescent="0.3"/>
    <row r="55" ht="14.4" x14ac:dyDescent="0.3"/>
    <row r="56" ht="34.5" customHeight="1" x14ac:dyDescent="0.3"/>
    <row r="57" ht="14.4" x14ac:dyDescent="0.3"/>
    <row r="58" ht="14.4" x14ac:dyDescent="0.3"/>
    <row r="59" ht="14.4" x14ac:dyDescent="0.3"/>
    <row r="60" ht="14.4" x14ac:dyDescent="0.3"/>
    <row r="61" ht="14.4" x14ac:dyDescent="0.3"/>
    <row r="62" ht="14.4" x14ac:dyDescent="0.3"/>
    <row r="63" ht="14.4" x14ac:dyDescent="0.3"/>
    <row r="64" ht="14.4" x14ac:dyDescent="0.3"/>
    <row r="65" spans="29:29" ht="14.4" x14ac:dyDescent="0.3"/>
    <row r="66" spans="29:29" ht="14.4" x14ac:dyDescent="0.3"/>
    <row r="67" spans="29:29" ht="14.4" x14ac:dyDescent="0.3"/>
    <row r="68" spans="29:29" ht="14.4" x14ac:dyDescent="0.3"/>
    <row r="69" spans="29:29" ht="14.4" x14ac:dyDescent="0.3"/>
    <row r="70" spans="29:29" ht="14.4" x14ac:dyDescent="0.3"/>
    <row r="71" spans="29:29" ht="14.4" x14ac:dyDescent="0.3"/>
    <row r="72" spans="29:29" ht="14.4" x14ac:dyDescent="0.3"/>
    <row r="73" spans="29:29" ht="14.4" x14ac:dyDescent="0.3"/>
    <row r="74" spans="29:29" ht="14.4" x14ac:dyDescent="0.3">
      <c r="AC74" s="3"/>
    </row>
    <row r="75" spans="29:29" ht="14.4" x14ac:dyDescent="0.3">
      <c r="AC75" s="3"/>
    </row>
    <row r="76" spans="29:29" ht="14.4" x14ac:dyDescent="0.3">
      <c r="AC76" s="3"/>
    </row>
    <row r="77" spans="29:29" ht="14.4" x14ac:dyDescent="0.3">
      <c r="AC77" s="3"/>
    </row>
    <row r="78" spans="29:29" ht="14.4" x14ac:dyDescent="0.3"/>
  </sheetData>
  <sheetProtection algorithmName="SHA-512" hashValue="OwHovf1cm2dMTsqJAUm8itgcl0dSumko/tTeQ+y1MsTRKIXck5pP+qgoDMvWvtx68XIxSI/41NRJIc3Z4K/skA==" saltValue="JfGocBHjQxhgew3SuBMf1Q==" spinCount="100000" sheet="1" objects="1" scenarios="1"/>
  <protectedRanges>
    <protectedRange sqref="D9:D20" name="Rango3"/>
  </protectedRanges>
  <mergeCells count="6">
    <mergeCell ref="B4:D4"/>
    <mergeCell ref="T33:U33"/>
    <mergeCell ref="V33:X33"/>
    <mergeCell ref="C33:D33"/>
    <mergeCell ref="E33:G33"/>
    <mergeCell ref="B28:G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4feffb9-6617-426d-9b7e-22ce06440948" xsi:nil="true"/>
    <lcf76f155ced4ddcb4097134ff3c332f xmlns="4a4391b9-c753-41e1-9f38-cf8ec195bfc3">
      <Terms xmlns="http://schemas.microsoft.com/office/infopath/2007/PartnerControls"/>
    </lcf76f155ced4ddcb4097134ff3c332f>
    <SharedWithUsers xmlns="84feffb9-6617-426d-9b7e-22ce06440948">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165100538C8AE428D652BE4CE0E9477" ma:contentTypeVersion="12" ma:contentTypeDescription="Crear nuevo documento." ma:contentTypeScope="" ma:versionID="c801b743d11c5356e7401c5161411931">
  <xsd:schema xmlns:xsd="http://www.w3.org/2001/XMLSchema" xmlns:xs="http://www.w3.org/2001/XMLSchema" xmlns:p="http://schemas.microsoft.com/office/2006/metadata/properties" xmlns:ns2="84feffb9-6617-426d-9b7e-22ce06440948" xmlns:ns3="4a4391b9-c753-41e1-9f38-cf8ec195bfc3" targetNamespace="http://schemas.microsoft.com/office/2006/metadata/properties" ma:root="true" ma:fieldsID="18874151730241db2b21764c0716a0ce" ns2:_="" ns3:_="">
    <xsd:import namespace="84feffb9-6617-426d-9b7e-22ce06440948"/>
    <xsd:import namespace="4a4391b9-c753-41e1-9f38-cf8ec195bf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feffb9-6617-426d-9b7e-22ce0644094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6aafc864-ba5b-4a09-991c-22eea8d48df1}" ma:internalName="TaxCatchAll" ma:showField="CatchAllData" ma:web="84feffb9-6617-426d-9b7e-22ce0644094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4391b9-c753-41e1-9f38-cf8ec195bf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b7d3163c-cc13-4a2f-b693-a4874a65628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A6D531-7DE9-4F93-9844-5312DAB3865F}">
  <ds:schemaRefs>
    <ds:schemaRef ds:uri="http://schemas.microsoft.com/office/2006/metadata/properties"/>
    <ds:schemaRef ds:uri="http://schemas.microsoft.com/office/infopath/2007/PartnerControls"/>
    <ds:schemaRef ds:uri="84feffb9-6617-426d-9b7e-22ce06440948"/>
    <ds:schemaRef ds:uri="4a4391b9-c753-41e1-9f38-cf8ec195bfc3"/>
  </ds:schemaRefs>
</ds:datastoreItem>
</file>

<file path=customXml/itemProps2.xml><?xml version="1.0" encoding="utf-8"?>
<ds:datastoreItem xmlns:ds="http://schemas.openxmlformats.org/officeDocument/2006/customXml" ds:itemID="{75E82C7E-8C5D-4AE8-894D-34FC92778B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feffb9-6617-426d-9b7e-22ce06440948"/>
    <ds:schemaRef ds:uri="4a4391b9-c753-41e1-9f38-cf8ec195bf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CC8CF0-44D2-4756-A5E5-4EE6B883F2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INICIO</vt:lpstr>
      <vt:lpstr>Resultados</vt:lpstr>
      <vt:lpstr>Consumos</vt:lpstr>
      <vt:lpstr>Mov. interna (runners y staff)</vt:lpstr>
      <vt:lpstr>Mov. Proveedores</vt:lpstr>
      <vt:lpstr>Mov. artistas</vt:lpstr>
      <vt:lpstr>Mov. audiencia</vt:lpstr>
      <vt:lpstr>Alojamientos</vt:lpstr>
      <vt:lpstr>Materiales y Residuos</vt:lpstr>
      <vt:lpstr>FE Consumos</vt:lpstr>
      <vt:lpstr>FE Movilidad</vt:lpstr>
      <vt:lpstr>FE Estancias de hotel</vt:lpstr>
      <vt:lpstr>FE Materiales y Residuos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Alonso</dc:creator>
  <cp:keywords/>
  <dc:description/>
  <cp:lastModifiedBy>Candela Sangüesa</cp:lastModifiedBy>
  <cp:revision/>
  <dcterms:created xsi:type="dcterms:W3CDTF">2021-10-08T08:51:56Z</dcterms:created>
  <dcterms:modified xsi:type="dcterms:W3CDTF">2025-02-25T15:28:54Z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0x0101000165100538C8AE428D652BE4CE0E9477</vt:lpwstr>
  </property>
  <property fmtid="{D5CDD505-2E9C-101B-9397-08002B2CF9AE}" pid="3" name="Order">
    <vt:r8>1867300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